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<sst xmlns="http://schemas.openxmlformats.org/spreadsheetml/2006/main" count="678" uniqueCount="234">
  <si>
    <t>ОТЧЕТ ОБ ИСПОЛНЕНИИ БЮДЖЕТА</t>
  </si>
  <si>
    <t>КОДЫ</t>
  </si>
  <si>
    <t xml:space="preserve">Форма по ОКУД </t>
  </si>
  <si>
    <t>0503117</t>
  </si>
  <si>
    <t>на 1 июля 2020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</si>
  <si>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</si>
  <si>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</si>
  <si>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</si>
  <si>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</si>
  <si>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</si>
  <si>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</si>
  <si>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</si>
  <si>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</si>
  <si>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</si>
  <si>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</si>
  <si>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</si>
  <si>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</si>
  <si>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</si>
  <si>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</si>
  <si>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</si>
  <si>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</si>
  <si>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</si>
  <si>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</si>
  <si>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</si>
  <si>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</si>
  <si>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</si>
  <si>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</si>
  <si>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</si>
  <si>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</si>
  <si>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</si>
  <si>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</si>
  <si>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</si>
  <si>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</si>
  <si>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</si>
  <si>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</si>
  <si>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</si>
  <si>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</si>
  <si>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</si>
  <si>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</si>
  <si>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</si>
  <si>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</si>
  <si>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</si>
  <si>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</si>
  <si>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</si>
  <si>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</si>
  <si>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</si>
  <si>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</si>
  <si>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</si>
  <si>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</si>
  <si>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</si>
  <si>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</si>
  <si>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</si>
  <si>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</si>
  <si>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</si>
  <si>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</si>
  <si>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</si>
  <si>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</si>
  <si>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</si>
  <si>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</si>
  <si>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</si>
  <si>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</si>
  <si>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</si>
  <si>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Транспортный налог с организаций</t>
  </si>
  <si>
    <t>182 10604011 02 0000 110</t>
  </si>
  <si>
    <t>182 10604011 02 1000 110</t>
  </si>
  <si>
    <t>182 10604011 02 2100 110</t>
  </si>
  <si>
    <t>Транспортный налог с физических лиц</t>
  </si>
  <si>
    <t>182 10604012 02 0000 110</t>
  </si>
  <si>
    <t>182 10604012 02 1000 110</t>
  </si>
  <si>
    <t>182 10604012 02 2100 110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</si>
  <si>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</si>
  <si>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</si>
  <si>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</si>
  <si>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</si>
  <si>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</si>
  <si>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</si>
  <si>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</si>
  <si>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</si>
  <si>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</si>
  <si>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</si>
  <si>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</si>
  <si>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</si>
  <si>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</si>
  <si>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</si>
  <si>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</si>
  <si>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</si>
  <si>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</si>
  <si>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</si>
  <si>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</si>
  <si>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</si>
  <si>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</si>
  <si>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</si>
  <si>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</si>
  <si>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</si>
  <si>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</si>
  <si>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</si>
  <si>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</si>
  <si>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</si>
  <si>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</si>
  <si>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</si>
  <si>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</si>
  <si>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</si>
  <si>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</si>
  <si>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</si>
  <si>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</si>
  <si>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</si>
  <si>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</si>
  <si>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</si>
  <si>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</si>
  <si>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</si>
  <si>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</si>
  <si>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</si>
  <si>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</si>
  <si>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</si>
  <si>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</si>
  <si>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</si>
  <si>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</si>
  <si>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650 0104 1000102040 121</t>
  </si>
  <si>
    <t>650 0104 1000102040 122</t>
  </si>
  <si>
    <t>Прочие несоциальные выплаты персоналу в натуральной форме</t>
  </si>
  <si>
    <t>214</t>
  </si>
  <si>
    <t>650 0104 1000102040 129</t>
  </si>
  <si>
    <t>650 0104 5010002040 121</t>
  </si>
  <si>
    <t>650 0104 5010002040 122</t>
  </si>
  <si>
    <t>650 0104 5010002040 129</t>
  </si>
  <si>
    <t>Расходы</t>
  </si>
  <si>
    <t>650 0111 5000020940 870</t>
  </si>
  <si>
    <t>650 0113 1000199990 111</t>
  </si>
  <si>
    <t>650 0113 1000199990 112</t>
  </si>
  <si>
    <t>650 0113 1000199990 119</t>
  </si>
  <si>
    <t>Услуги связи</t>
  </si>
  <si>
    <t>650 0113 1000199990 242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</si>
  <si>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</si>
  <si>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</si>
  <si>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</si>
  <si>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</si>
  <si>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</si>
  <si>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650 0113 1000199990 244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</si>
  <si>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</si>
  <si>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</si>
  <si>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</si>
  <si>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</si>
  <si>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</si>
  <si>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</si>
  <si>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</si>
  <si>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</si>
  <si>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</si>
  <si>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</si>
  <si>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</si>
  <si>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</si>
  <si>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</si>
  <si>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</si>
  <si>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</si>
  <si>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</si>
  <si>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</si>
  <si>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650 0113 1000199990 852</t>
  </si>
  <si>
    <t>291</t>
  </si>
  <si>
    <t>650 0113 1100199990 244</t>
  </si>
  <si>
    <t>650 0113 5000000600 111</t>
  </si>
  <si>
    <t>650 0113 5000000600 119</t>
  </si>
  <si>
    <t>650 0113 5000000600 242</t>
  </si>
  <si>
    <t>650 0113 5000000600 244</t>
  </si>
  <si>
    <t>650 0113 5000000600 852</t>
  </si>
  <si>
    <t>Иные выплаты текущего характера организациям</t>
  </si>
  <si>
    <t>650 0113 5000009300 853</t>
  </si>
  <si>
    <t>297</t>
  </si>
  <si>
    <t>650 0203 5000051180 121</t>
  </si>
  <si>
    <t>650 0203 5000051180 129</t>
  </si>
  <si>
    <t>650 0304 2010359300 121</t>
  </si>
  <si>
    <t>650 0304 2010359300 129</t>
  </si>
  <si>
    <t>650 0304 20103D9300 121</t>
  </si>
  <si>
    <t>650 0304 20103D9300 129</t>
  </si>
  <si>
    <t>650 0309 0900199990 244</t>
  </si>
  <si>
    <t>650 0314 0200199990 244</t>
  </si>
  <si>
    <t>650 0314 0310182300 123</t>
  </si>
  <si>
    <t>650 0314 03101S2300 123</t>
  </si>
  <si>
    <t>650 0314 0320199990 244</t>
  </si>
  <si>
    <t>650 0405 0600984200 244</t>
  </si>
  <si>
    <t>650 0409 0100120901 244</t>
  </si>
  <si>
    <t>650 0409 0100220902 244</t>
  </si>
  <si>
    <t>650 0410 0400489004 242</t>
  </si>
  <si>
    <t>650 0410 1000103300 242</t>
  </si>
  <si>
    <t>650 0410 1000420904 242</t>
  </si>
  <si>
    <t>650 0501 0800199990 244</t>
  </si>
  <si>
    <t>650 0501 0800299990 244</t>
  </si>
  <si>
    <t>650 0501 5000000350 244</t>
  </si>
  <si>
    <t>650 0503 0500189001 244</t>
  </si>
  <si>
    <t>650 0503 0500189016 244</t>
  </si>
  <si>
    <t>650 0503 0500189017 244</t>
  </si>
  <si>
    <t>650 0503 0500189022 244</t>
  </si>
  <si>
    <t>650 0503 0500199990 244</t>
  </si>
  <si>
    <t>650 0605 1200284290 121</t>
  </si>
  <si>
    <t>650 0605 1200284290 129</t>
  </si>
  <si>
    <t>650 0605 1200289021 244</t>
  </si>
  <si>
    <t>650 0605 1200389002 244</t>
  </si>
  <si>
    <t>650 0705 0600102400 244</t>
  </si>
  <si>
    <t>650 0707 0700199990 244</t>
  </si>
  <si>
    <t>Пенсии, пособия, выплачиваемые работодателями, нанимателями бывшим работникам</t>
  </si>
  <si>
    <t>650 1001 5000004910 321</t>
  </si>
  <si>
    <t>264</t>
  </si>
  <si>
    <t>Перечисления другим бюджетам бюджетной системы Российской Федерации</t>
  </si>
  <si>
    <t>650 1403 1000189020 540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</si>
  <si>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</si>
  <si>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</si>
  <si>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</si>
  <si>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</si>
  <si>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</si>
  <si>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</si>
  <si>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</si>
  <si>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</si>
  <si>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</si>
  <si>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</si>
  <si>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</si>
  <si>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</si>
  <si>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</si>
  <si>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</si>
  <si>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</si>
  <si>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</si>
  <si>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</si>
  <si>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</si>
  <si>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</si>
  <si>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</si>
  <si>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</si>
  <si>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</si>
  <si>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</si>
  <si>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</si>
  <si>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</si>
  <si>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</si>
  <si>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Лапухина Л. Н.</t>
  </si>
  <si>
    <t>Исполнитель:</t>
  </si>
  <si>
    <t>Савранская И. П.</t>
  </si>
  <si>
    <t>(должность)</t>
  </si>
  <si>
    <t xml:space="preserve">   7 июля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</si>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</sst>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6"/>
  <sheetViews>
    <sheetView tabSelected="1" zoomScalePageLayoutView="0" workbookViewId="0" topLeftCell="A31">
      <selection activeCell="AA13" sqref="AA13:AC1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20" width="2.7109375" style="1" customWidth="1"/>
    <col min="21" max="21" width="10.4218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2.8515625" style="1" customWidth="1"/>
    <col min="27" max="27" width="1.7109375" style="1" customWidth="1"/>
    <col min="28" max="28" width="3.7109375" style="1" customWidth="1"/>
    <col min="29" max="29" width="9.421875" style="1" customWidth="1"/>
  </cols>
  <sheetData>
    <row r="1" spans="1:29" s="1" customFormat="1" ht="13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2" t="s">
        <v>1</v>
      </c>
    </row>
    <row r="2" spans="1:29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 t="s">
        <v>3</v>
      </c>
    </row>
    <row r="3" spans="1:29" s="1" customFormat="1" ht="13.5" customHeight="1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10" t="s">
        <v>5</v>
      </c>
      <c r="AA3" s="10"/>
      <c r="AB3" s="10"/>
      <c r="AC3" s="4">
        <v>44013</v>
      </c>
    </row>
    <row r="4" spans="1:29" s="1" customFormat="1" ht="13.5" customHeight="1">
      <c r="A4" s="8" t="s">
        <v>6</v>
      </c>
      <c r="B4" s="8"/>
      <c r="C4" s="8"/>
      <c r="D4" s="8"/>
      <c r="E4" s="8"/>
      <c r="F4" s="60" t="s">
        <v>7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10" t="s">
        <v>8</v>
      </c>
      <c r="Z4" s="10"/>
      <c r="AA4" s="10"/>
      <c r="AB4" s="10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10" t="s">
        <v>9</v>
      </c>
      <c r="Z5" s="10"/>
      <c r="AA5" s="10"/>
      <c r="AB5" s="10"/>
      <c r="AC5" s="6" t="s">
        <v>10</v>
      </c>
    </row>
    <row r="6" spans="1:29" s="1" customFormat="1" ht="13.5" customHeight="1">
      <c r="A6" s="8" t="s">
        <v>11</v>
      </c>
      <c r="B6" s="8"/>
      <c r="C6" s="8"/>
      <c r="D6" s="8"/>
      <c r="E6" s="8"/>
      <c r="F6" s="8"/>
      <c r="G6" s="60" t="s">
        <v>12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10" t="s">
        <v>13</v>
      </c>
      <c r="Z6" s="10"/>
      <c r="AA6" s="10"/>
      <c r="AB6" s="10"/>
      <c r="AC6" s="6">
        <v>71818403</v>
      </c>
    </row>
    <row r="7" spans="1:29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10</v>
      </c>
    </row>
    <row r="8" spans="1:29" s="1" customFormat="1" ht="13.5" customHeight="1">
      <c r="A8" s="8" t="s">
        <v>16</v>
      </c>
      <c r="B8" s="8"/>
      <c r="C8" s="8"/>
      <c r="D8" s="8"/>
      <c r="E8" s="8" t="s">
        <v>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 t="s">
        <v>18</v>
      </c>
      <c r="Y8" s="10"/>
      <c r="Z8" s="10"/>
      <c r="AA8" s="10"/>
      <c r="AB8" s="10"/>
      <c r="AC8" s="7" t="s">
        <v>19</v>
      </c>
    </row>
    <row r="9" spans="1:29" s="1" customFormat="1" ht="13.5" customHeight="1">
      <c r="A9" s="44" t="s">
        <v>20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s="1" customFormat="1" ht="34.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 t="s">
        <v>22</v>
      </c>
      <c r="N10" s="45"/>
      <c r="O10" s="45"/>
      <c r="P10" s="45" t="s">
        <v>23</v>
      </c>
      <c r="Q10" s="45"/>
      <c r="R10" s="45"/>
      <c r="S10" s="46" t="s">
        <v>24</v>
      </c>
      <c r="T10" s="46"/>
      <c r="U10" s="46"/>
      <c r="V10" s="46" t="s">
        <v>25</v>
      </c>
      <c r="W10" s="46"/>
      <c r="X10" s="46"/>
      <c r="Y10" s="46"/>
      <c r="Z10" s="46"/>
      <c r="AA10" s="47" t="s">
        <v>26</v>
      </c>
      <c r="AB10" s="47"/>
      <c r="AC10" s="47"/>
    </row>
    <row r="11" spans="1:29" s="1" customFormat="1" ht="12.75" customHeight="1">
      <c r="A11" s="40" t="s">
        <v>27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 t="s">
        <v>28</v>
      </c>
      <c r="N11" s="40"/>
      <c r="O11" s="40"/>
      <c r="P11" s="40" t="s">
        <v>29</v>
      </c>
      <c r="Q11" s="40"/>
      <c r="R11" s="40"/>
      <c r="S11" s="41" t="s">
        <v>30</v>
      </c>
      <c r="T11" s="41"/>
      <c r="U11" s="41"/>
      <c r="V11" s="41" t="s">
        <v>31</v>
      </c>
      <c r="W11" s="41"/>
      <c r="X11" s="41"/>
      <c r="Y11" s="41"/>
      <c r="Z11" s="41"/>
      <c r="AA11" s="42" t="s">
        <v>32</v>
      </c>
      <c r="AB11" s="42"/>
      <c r="AC11" s="42"/>
    </row>
    <row r="12" spans="1:29" s="1" customFormat="1" ht="13.5" customHeight="1">
      <c r="A12" s="35" t="s">
        <v>33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34</v>
      </c>
      <c r="N12" s="36"/>
      <c r="O12" s="36"/>
      <c r="P12" s="36" t="s">
        <v>35</v>
      </c>
      <c r="Q12" s="36"/>
      <c r="R12" s="36"/>
      <c r="S12" s="38">
        <f>32277311.76</f>
        <v>32277311.76</v>
      </c>
      <c r="T12" s="38"/>
      <c r="U12" s="38"/>
      <c r="V12" s="38">
        <f>21509446.74</f>
        <v>21509446.74</v>
      </c>
      <c r="W12" s="38"/>
      <c r="X12" s="38"/>
      <c r="Y12" s="38"/>
      <c r="Z12" s="38"/>
      <c r="AA12" s="55">
        <f>10767865.02</f>
        <v>10767865.02</v>
      </c>
      <c r="AB12" s="55"/>
      <c r="AC12" s="55"/>
    </row>
    <row r="13" spans="1:29" s="1" customFormat="1" ht="66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9" t="s">
        <v>34</v>
      </c>
      <c r="N13" s="29"/>
      <c r="O13" s="29"/>
      <c r="P13" s="29" t="s">
        <v>37</v>
      </c>
      <c r="Q13" s="29"/>
      <c r="R13" s="29"/>
      <c r="S13" s="57">
        <f>322000</f>
        <v>322000</v>
      </c>
      <c r="T13" s="57"/>
      <c r="U13" s="57"/>
      <c r="V13" s="57">
        <f>162253.79</f>
        <v>162253.79</v>
      </c>
      <c r="W13" s="57"/>
      <c r="X13" s="57"/>
      <c r="Y13" s="57"/>
      <c r="Z13" s="57"/>
      <c r="AA13" s="58">
        <f>159746.21</f>
        <v>159746.21</v>
      </c>
      <c r="AB13" s="58"/>
      <c r="AC13" s="58"/>
    </row>
    <row r="14" spans="1:29" s="1" customFormat="1" ht="75.75" customHeight="1">
      <c r="A14" s="27" t="s">
        <v>38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9" t="s">
        <v>34</v>
      </c>
      <c r="N14" s="29"/>
      <c r="O14" s="29"/>
      <c r="P14" s="29" t="s">
        <v>39</v>
      </c>
      <c r="Q14" s="29"/>
      <c r="R14" s="29"/>
      <c r="S14" s="57">
        <f>2100</f>
        <v>2100</v>
      </c>
      <c r="T14" s="57"/>
      <c r="U14" s="57"/>
      <c r="V14" s="57">
        <f>1061.6</f>
        <v>1061.6</v>
      </c>
      <c r="W14" s="57"/>
      <c r="X14" s="57"/>
      <c r="Y14" s="57"/>
      <c r="Z14" s="57"/>
      <c r="AA14" s="58">
        <f>1038.4</f>
        <v>1038.4</v>
      </c>
      <c r="AB14" s="58"/>
      <c r="AC14" s="58"/>
    </row>
    <row r="15" spans="1:29" s="1" customFormat="1" ht="66" customHeight="1">
      <c r="A15" s="27" t="s">
        <v>40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9" t="s">
        <v>34</v>
      </c>
      <c r="N15" s="29"/>
      <c r="O15" s="29"/>
      <c r="P15" s="29" t="s">
        <v>41</v>
      </c>
      <c r="Q15" s="29"/>
      <c r="R15" s="29"/>
      <c r="S15" s="57">
        <f>564500</f>
        <v>564500</v>
      </c>
      <c r="T15" s="57"/>
      <c r="U15" s="57"/>
      <c r="V15" s="57">
        <f>211444.67</f>
        <v>211444.67</v>
      </c>
      <c r="W15" s="57"/>
      <c r="X15" s="57"/>
      <c r="Y15" s="57"/>
      <c r="Z15" s="57"/>
      <c r="AA15" s="58">
        <f>353055.33</f>
        <v>353055.33</v>
      </c>
      <c r="AB15" s="58"/>
      <c r="AC15" s="58"/>
    </row>
    <row r="16" spans="1:29" s="1" customFormat="1" ht="66" customHeight="1">
      <c r="A16" s="27" t="s">
        <v>42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9" t="s">
        <v>34</v>
      </c>
      <c r="N16" s="29"/>
      <c r="O16" s="29"/>
      <c r="P16" s="29" t="s">
        <v>43</v>
      </c>
      <c r="Q16" s="29"/>
      <c r="R16" s="29"/>
      <c r="S16" s="31" t="s">
        <v>44</v>
      </c>
      <c r="T16" s="31"/>
      <c r="U16" s="31"/>
      <c r="V16" s="57">
        <f>-32294.09</f>
        <v>-32294.09</v>
      </c>
      <c r="W16" s="57"/>
      <c r="X16" s="57"/>
      <c r="Y16" s="57"/>
      <c r="Z16" s="57"/>
      <c r="AA16" s="59" t="s">
        <v>44</v>
      </c>
      <c r="AB16" s="59"/>
      <c r="AC16" s="59"/>
    </row>
    <row r="17" spans="1:29" s="1" customFormat="1" ht="45" customHeight="1">
      <c r="A17" s="27" t="s">
        <v>45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9" t="s">
        <v>34</v>
      </c>
      <c r="N17" s="29"/>
      <c r="O17" s="29"/>
      <c r="P17" s="29" t="s">
        <v>46</v>
      </c>
      <c r="Q17" s="29"/>
      <c r="R17" s="29"/>
      <c r="S17" s="57">
        <f>1500000</f>
        <v>1500000</v>
      </c>
      <c r="T17" s="57"/>
      <c r="U17" s="57"/>
      <c r="V17" s="31" t="s">
        <v>44</v>
      </c>
      <c r="W17" s="31"/>
      <c r="X17" s="31"/>
      <c r="Y17" s="31"/>
      <c r="Z17" s="31"/>
      <c r="AA17" s="58">
        <f>1500000</f>
        <v>1500000</v>
      </c>
      <c r="AB17" s="58"/>
      <c r="AC17" s="58"/>
    </row>
    <row r="18" spans="1:29" s="1" customFormat="1" ht="45" customHeight="1">
      <c r="A18" s="27" t="s">
        <v>45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9" t="s">
        <v>34</v>
      </c>
      <c r="N18" s="29"/>
      <c r="O18" s="29"/>
      <c r="P18" s="29" t="s">
        <v>47</v>
      </c>
      <c r="Q18" s="29"/>
      <c r="R18" s="29"/>
      <c r="S18" s="31" t="s">
        <v>44</v>
      </c>
      <c r="T18" s="31"/>
      <c r="U18" s="31"/>
      <c r="V18" s="57">
        <f>894449.2</f>
        <v>894449.2</v>
      </c>
      <c r="W18" s="57"/>
      <c r="X18" s="57"/>
      <c r="Y18" s="57"/>
      <c r="Z18" s="57"/>
      <c r="AA18" s="59" t="s">
        <v>44</v>
      </c>
      <c r="AB18" s="59"/>
      <c r="AC18" s="59"/>
    </row>
    <row r="19" spans="1:29" s="1" customFormat="1" ht="45" customHeight="1">
      <c r="A19" s="27" t="s">
        <v>45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9" t="s">
        <v>34</v>
      </c>
      <c r="N19" s="29"/>
      <c r="O19" s="29"/>
      <c r="P19" s="29" t="s">
        <v>48</v>
      </c>
      <c r="Q19" s="29"/>
      <c r="R19" s="29"/>
      <c r="S19" s="31" t="s">
        <v>44</v>
      </c>
      <c r="T19" s="31"/>
      <c r="U19" s="31"/>
      <c r="V19" s="57">
        <f>2010</f>
        <v>2010</v>
      </c>
      <c r="W19" s="57"/>
      <c r="X19" s="57"/>
      <c r="Y19" s="57"/>
      <c r="Z19" s="57"/>
      <c r="AA19" s="59" t="s">
        <v>44</v>
      </c>
      <c r="AB19" s="59"/>
      <c r="AC19" s="59"/>
    </row>
    <row r="20" spans="1:29" s="1" customFormat="1" ht="24" customHeight="1">
      <c r="A20" s="27" t="s">
        <v>49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9" t="s">
        <v>34</v>
      </c>
      <c r="N20" s="29"/>
      <c r="O20" s="29"/>
      <c r="P20" s="29" t="s">
        <v>50</v>
      </c>
      <c r="Q20" s="29"/>
      <c r="R20" s="29"/>
      <c r="S20" s="31" t="s">
        <v>44</v>
      </c>
      <c r="T20" s="31"/>
      <c r="U20" s="31"/>
      <c r="V20" s="57">
        <f>1935.5</f>
        <v>1935.5</v>
      </c>
      <c r="W20" s="57"/>
      <c r="X20" s="57"/>
      <c r="Y20" s="57"/>
      <c r="Z20" s="57"/>
      <c r="AA20" s="59" t="s">
        <v>44</v>
      </c>
      <c r="AB20" s="59"/>
      <c r="AC20" s="59"/>
    </row>
    <row r="21" spans="1:29" s="1" customFormat="1" ht="24" customHeight="1">
      <c r="A21" s="27" t="s">
        <v>49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 t="s">
        <v>34</v>
      </c>
      <c r="N21" s="29"/>
      <c r="O21" s="29"/>
      <c r="P21" s="29" t="s">
        <v>51</v>
      </c>
      <c r="Q21" s="29"/>
      <c r="R21" s="29"/>
      <c r="S21" s="31" t="s">
        <v>44</v>
      </c>
      <c r="T21" s="31"/>
      <c r="U21" s="31"/>
      <c r="V21" s="57">
        <f>18.76</f>
        <v>18.76</v>
      </c>
      <c r="W21" s="57"/>
      <c r="X21" s="57"/>
      <c r="Y21" s="57"/>
      <c r="Z21" s="57"/>
      <c r="AA21" s="59" t="s">
        <v>44</v>
      </c>
      <c r="AB21" s="59"/>
      <c r="AC21" s="59"/>
    </row>
    <row r="22" spans="1:29" s="1" customFormat="1" ht="13.5" customHeight="1">
      <c r="A22" s="27" t="s">
        <v>52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9" t="s">
        <v>34</v>
      </c>
      <c r="N22" s="29"/>
      <c r="O22" s="29"/>
      <c r="P22" s="29" t="s">
        <v>53</v>
      </c>
      <c r="Q22" s="29"/>
      <c r="R22" s="29"/>
      <c r="S22" s="57">
        <f>128200</f>
        <v>128200</v>
      </c>
      <c r="T22" s="57"/>
      <c r="U22" s="57"/>
      <c r="V22" s="31" t="s">
        <v>44</v>
      </c>
      <c r="W22" s="31"/>
      <c r="X22" s="31"/>
      <c r="Y22" s="31"/>
      <c r="Z22" s="31"/>
      <c r="AA22" s="58">
        <f>128200</f>
        <v>128200</v>
      </c>
      <c r="AB22" s="58"/>
      <c r="AC22" s="58"/>
    </row>
    <row r="23" spans="1:29" s="1" customFormat="1" ht="13.5" customHeight="1">
      <c r="A23" s="27" t="s">
        <v>52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9" t="s">
        <v>34</v>
      </c>
      <c r="N23" s="29"/>
      <c r="O23" s="29"/>
      <c r="P23" s="29" t="s">
        <v>54</v>
      </c>
      <c r="Q23" s="29"/>
      <c r="R23" s="29"/>
      <c r="S23" s="31" t="s">
        <v>44</v>
      </c>
      <c r="T23" s="31"/>
      <c r="U23" s="31"/>
      <c r="V23" s="57">
        <f>18456</f>
        <v>18456</v>
      </c>
      <c r="W23" s="57"/>
      <c r="X23" s="57"/>
      <c r="Y23" s="57"/>
      <c r="Z23" s="57"/>
      <c r="AA23" s="59" t="s">
        <v>44</v>
      </c>
      <c r="AB23" s="59"/>
      <c r="AC23" s="59"/>
    </row>
    <row r="24" spans="1:29" s="1" customFormat="1" ht="13.5" customHeight="1">
      <c r="A24" s="27" t="s">
        <v>55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9" t="s">
        <v>34</v>
      </c>
      <c r="N24" s="29"/>
      <c r="O24" s="29"/>
      <c r="P24" s="29" t="s">
        <v>56</v>
      </c>
      <c r="Q24" s="29"/>
      <c r="R24" s="29"/>
      <c r="S24" s="57">
        <f>93500</f>
        <v>93500</v>
      </c>
      <c r="T24" s="57"/>
      <c r="U24" s="57"/>
      <c r="V24" s="31" t="s">
        <v>44</v>
      </c>
      <c r="W24" s="31"/>
      <c r="X24" s="31"/>
      <c r="Y24" s="31"/>
      <c r="Z24" s="31"/>
      <c r="AA24" s="58">
        <f>93500</f>
        <v>93500</v>
      </c>
      <c r="AB24" s="58"/>
      <c r="AC24" s="58"/>
    </row>
    <row r="25" spans="1:29" s="1" customFormat="1" ht="24" customHeight="1">
      <c r="A25" s="27" t="s">
        <v>57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9" t="s">
        <v>34</v>
      </c>
      <c r="N25" s="29"/>
      <c r="O25" s="29"/>
      <c r="P25" s="29" t="s">
        <v>58</v>
      </c>
      <c r="Q25" s="29"/>
      <c r="R25" s="29"/>
      <c r="S25" s="57">
        <f>71300</f>
        <v>71300</v>
      </c>
      <c r="T25" s="57"/>
      <c r="U25" s="57"/>
      <c r="V25" s="31" t="s">
        <v>44</v>
      </c>
      <c r="W25" s="31"/>
      <c r="X25" s="31"/>
      <c r="Y25" s="31"/>
      <c r="Z25" s="31"/>
      <c r="AA25" s="58">
        <f>71300</f>
        <v>71300</v>
      </c>
      <c r="AB25" s="58"/>
      <c r="AC25" s="58"/>
    </row>
    <row r="26" spans="1:29" s="1" customFormat="1" ht="33.75" customHeight="1">
      <c r="A26" s="27" t="s">
        <v>59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9" t="s">
        <v>34</v>
      </c>
      <c r="N26" s="29"/>
      <c r="O26" s="29"/>
      <c r="P26" s="29" t="s">
        <v>60</v>
      </c>
      <c r="Q26" s="29"/>
      <c r="R26" s="29"/>
      <c r="S26" s="31" t="s">
        <v>44</v>
      </c>
      <c r="T26" s="31"/>
      <c r="U26" s="31"/>
      <c r="V26" s="57">
        <f>5941.42</f>
        <v>5941.42</v>
      </c>
      <c r="W26" s="57"/>
      <c r="X26" s="57"/>
      <c r="Y26" s="57"/>
      <c r="Z26" s="57"/>
      <c r="AA26" s="59" t="s">
        <v>44</v>
      </c>
      <c r="AB26" s="59"/>
      <c r="AC26" s="59"/>
    </row>
    <row r="27" spans="1:29" s="1" customFormat="1" ht="33.75" customHeight="1">
      <c r="A27" s="27" t="s">
        <v>59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9" t="s">
        <v>34</v>
      </c>
      <c r="N27" s="29"/>
      <c r="O27" s="29"/>
      <c r="P27" s="29" t="s">
        <v>61</v>
      </c>
      <c r="Q27" s="29"/>
      <c r="R27" s="29"/>
      <c r="S27" s="31" t="s">
        <v>44</v>
      </c>
      <c r="T27" s="31"/>
      <c r="U27" s="31"/>
      <c r="V27" s="57">
        <f>341.62</f>
        <v>341.62</v>
      </c>
      <c r="W27" s="57"/>
      <c r="X27" s="57"/>
      <c r="Y27" s="57"/>
      <c r="Z27" s="57"/>
      <c r="AA27" s="59" t="s">
        <v>44</v>
      </c>
      <c r="AB27" s="59"/>
      <c r="AC27" s="59"/>
    </row>
    <row r="28" spans="1:29" s="1" customFormat="1" ht="13.5" customHeight="1">
      <c r="A28" s="27" t="s">
        <v>62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9" t="s">
        <v>34</v>
      </c>
      <c r="N28" s="29"/>
      <c r="O28" s="29"/>
      <c r="P28" s="29" t="s">
        <v>63</v>
      </c>
      <c r="Q28" s="29"/>
      <c r="R28" s="29"/>
      <c r="S28" s="57">
        <f>4700</f>
        <v>4700</v>
      </c>
      <c r="T28" s="57"/>
      <c r="U28" s="57"/>
      <c r="V28" s="31" t="s">
        <v>44</v>
      </c>
      <c r="W28" s="31"/>
      <c r="X28" s="31"/>
      <c r="Y28" s="31"/>
      <c r="Z28" s="31"/>
      <c r="AA28" s="58">
        <f>4700</f>
        <v>4700</v>
      </c>
      <c r="AB28" s="58"/>
      <c r="AC28" s="58"/>
    </row>
    <row r="29" spans="1:29" s="1" customFormat="1" ht="13.5" customHeight="1">
      <c r="A29" s="27" t="s">
        <v>62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9" t="s">
        <v>34</v>
      </c>
      <c r="N29" s="29"/>
      <c r="O29" s="29"/>
      <c r="P29" s="29" t="s">
        <v>64</v>
      </c>
      <c r="Q29" s="29"/>
      <c r="R29" s="29"/>
      <c r="S29" s="31" t="s">
        <v>44</v>
      </c>
      <c r="T29" s="31"/>
      <c r="U29" s="31"/>
      <c r="V29" s="57">
        <f>679.28</f>
        <v>679.28</v>
      </c>
      <c r="W29" s="57"/>
      <c r="X29" s="57"/>
      <c r="Y29" s="57"/>
      <c r="Z29" s="57"/>
      <c r="AA29" s="59" t="s">
        <v>44</v>
      </c>
      <c r="AB29" s="59"/>
      <c r="AC29" s="59"/>
    </row>
    <row r="30" spans="1:29" s="1" customFormat="1" ht="13.5" customHeight="1">
      <c r="A30" s="27" t="s">
        <v>62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9" t="s">
        <v>34</v>
      </c>
      <c r="N30" s="29"/>
      <c r="O30" s="29"/>
      <c r="P30" s="29" t="s">
        <v>65</v>
      </c>
      <c r="Q30" s="29"/>
      <c r="R30" s="29"/>
      <c r="S30" s="31" t="s">
        <v>44</v>
      </c>
      <c r="T30" s="31"/>
      <c r="U30" s="31"/>
      <c r="V30" s="57">
        <f>8.36</f>
        <v>8.36</v>
      </c>
      <c r="W30" s="57"/>
      <c r="X30" s="57"/>
      <c r="Y30" s="57"/>
      <c r="Z30" s="57"/>
      <c r="AA30" s="59" t="s">
        <v>44</v>
      </c>
      <c r="AB30" s="59"/>
      <c r="AC30" s="59"/>
    </row>
    <row r="31" spans="1:29" s="1" customFormat="1" ht="13.5" customHeight="1">
      <c r="A31" s="27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9" t="s">
        <v>34</v>
      </c>
      <c r="N31" s="29"/>
      <c r="O31" s="29"/>
      <c r="P31" s="29" t="s">
        <v>67</v>
      </c>
      <c r="Q31" s="29"/>
      <c r="R31" s="29"/>
      <c r="S31" s="57">
        <f>4900</f>
        <v>4900</v>
      </c>
      <c r="T31" s="57"/>
      <c r="U31" s="57"/>
      <c r="V31" s="31" t="s">
        <v>44</v>
      </c>
      <c r="W31" s="31"/>
      <c r="X31" s="31"/>
      <c r="Y31" s="31"/>
      <c r="Z31" s="31"/>
      <c r="AA31" s="58">
        <f>4900</f>
        <v>4900</v>
      </c>
      <c r="AB31" s="58"/>
      <c r="AC31" s="58"/>
    </row>
    <row r="32" spans="1:29" s="1" customFormat="1" ht="13.5" customHeight="1">
      <c r="A32" s="27" t="s">
        <v>66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9" t="s">
        <v>34</v>
      </c>
      <c r="N32" s="29"/>
      <c r="O32" s="29"/>
      <c r="P32" s="29" t="s">
        <v>68</v>
      </c>
      <c r="Q32" s="29"/>
      <c r="R32" s="29"/>
      <c r="S32" s="31" t="s">
        <v>44</v>
      </c>
      <c r="T32" s="31"/>
      <c r="U32" s="31"/>
      <c r="V32" s="57">
        <f>1202.2</f>
        <v>1202.2</v>
      </c>
      <c r="W32" s="57"/>
      <c r="X32" s="57"/>
      <c r="Y32" s="57"/>
      <c r="Z32" s="57"/>
      <c r="AA32" s="59" t="s">
        <v>44</v>
      </c>
      <c r="AB32" s="59"/>
      <c r="AC32" s="59"/>
    </row>
    <row r="33" spans="1:29" s="1" customFormat="1" ht="13.5" customHeight="1">
      <c r="A33" s="27" t="s">
        <v>66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9" t="s">
        <v>34</v>
      </c>
      <c r="N33" s="29"/>
      <c r="O33" s="29"/>
      <c r="P33" s="29" t="s">
        <v>69</v>
      </c>
      <c r="Q33" s="29"/>
      <c r="R33" s="29"/>
      <c r="S33" s="31" t="s">
        <v>44</v>
      </c>
      <c r="T33" s="31"/>
      <c r="U33" s="31"/>
      <c r="V33" s="57">
        <f>252.15</f>
        <v>252.15</v>
      </c>
      <c r="W33" s="57"/>
      <c r="X33" s="57"/>
      <c r="Y33" s="57"/>
      <c r="Z33" s="57"/>
      <c r="AA33" s="59" t="s">
        <v>44</v>
      </c>
      <c r="AB33" s="59"/>
      <c r="AC33" s="59"/>
    </row>
    <row r="34" spans="1:29" s="1" customFormat="1" ht="24" customHeight="1">
      <c r="A34" s="27" t="s">
        <v>70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" t="s">
        <v>34</v>
      </c>
      <c r="N34" s="29"/>
      <c r="O34" s="29"/>
      <c r="P34" s="29" t="s">
        <v>71</v>
      </c>
      <c r="Q34" s="29"/>
      <c r="R34" s="29"/>
      <c r="S34" s="57">
        <f>1900</f>
        <v>1900</v>
      </c>
      <c r="T34" s="57"/>
      <c r="U34" s="57"/>
      <c r="V34" s="31" t="s">
        <v>44</v>
      </c>
      <c r="W34" s="31"/>
      <c r="X34" s="31"/>
      <c r="Y34" s="31"/>
      <c r="Z34" s="31"/>
      <c r="AA34" s="58">
        <f>1900</f>
        <v>1900</v>
      </c>
      <c r="AB34" s="58"/>
      <c r="AC34" s="58"/>
    </row>
    <row r="35" spans="1:29" s="1" customFormat="1" ht="24" customHeight="1">
      <c r="A35" s="27" t="s">
        <v>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" t="s">
        <v>34</v>
      </c>
      <c r="N35" s="29"/>
      <c r="O35" s="29"/>
      <c r="P35" s="29" t="s">
        <v>73</v>
      </c>
      <c r="Q35" s="29"/>
      <c r="R35" s="29"/>
      <c r="S35" s="31" t="s">
        <v>44</v>
      </c>
      <c r="T35" s="31"/>
      <c r="U35" s="31"/>
      <c r="V35" s="57">
        <f>26251</f>
        <v>26251</v>
      </c>
      <c r="W35" s="57"/>
      <c r="X35" s="57"/>
      <c r="Y35" s="57"/>
      <c r="Z35" s="57"/>
      <c r="AA35" s="59" t="s">
        <v>44</v>
      </c>
      <c r="AB35" s="59"/>
      <c r="AC35" s="59"/>
    </row>
    <row r="36" spans="1:29" s="1" customFormat="1" ht="24" customHeight="1">
      <c r="A36" s="27" t="s">
        <v>74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 t="s">
        <v>34</v>
      </c>
      <c r="N36" s="29"/>
      <c r="O36" s="29"/>
      <c r="P36" s="29" t="s">
        <v>75</v>
      </c>
      <c r="Q36" s="29"/>
      <c r="R36" s="29"/>
      <c r="S36" s="57">
        <f>5500</f>
        <v>5500</v>
      </c>
      <c r="T36" s="57"/>
      <c r="U36" s="57"/>
      <c r="V36" s="31" t="s">
        <v>44</v>
      </c>
      <c r="W36" s="31"/>
      <c r="X36" s="31"/>
      <c r="Y36" s="31"/>
      <c r="Z36" s="31"/>
      <c r="AA36" s="58">
        <f>5500</f>
        <v>5500</v>
      </c>
      <c r="AB36" s="58"/>
      <c r="AC36" s="58"/>
    </row>
    <row r="37" spans="1:29" s="1" customFormat="1" ht="24" customHeight="1">
      <c r="A37" s="27" t="s">
        <v>76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9" t="s">
        <v>34</v>
      </c>
      <c r="N37" s="29"/>
      <c r="O37" s="29"/>
      <c r="P37" s="29" t="s">
        <v>77</v>
      </c>
      <c r="Q37" s="29"/>
      <c r="R37" s="29"/>
      <c r="S37" s="31" t="s">
        <v>44</v>
      </c>
      <c r="T37" s="31"/>
      <c r="U37" s="31"/>
      <c r="V37" s="57">
        <f>1064</f>
        <v>1064</v>
      </c>
      <c r="W37" s="57"/>
      <c r="X37" s="57"/>
      <c r="Y37" s="57"/>
      <c r="Z37" s="57"/>
      <c r="AA37" s="59" t="s">
        <v>44</v>
      </c>
      <c r="AB37" s="59"/>
      <c r="AC37" s="59"/>
    </row>
    <row r="38" spans="1:29" s="1" customFormat="1" ht="24" customHeight="1">
      <c r="A38" s="27" t="s">
        <v>76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9" t="s">
        <v>34</v>
      </c>
      <c r="N38" s="29"/>
      <c r="O38" s="29"/>
      <c r="P38" s="29" t="s">
        <v>78</v>
      </c>
      <c r="Q38" s="29"/>
      <c r="R38" s="29"/>
      <c r="S38" s="31" t="s">
        <v>44</v>
      </c>
      <c r="T38" s="31"/>
      <c r="U38" s="31"/>
      <c r="V38" s="57">
        <f>294.37</f>
        <v>294.37</v>
      </c>
      <c r="W38" s="57"/>
      <c r="X38" s="57"/>
      <c r="Y38" s="57"/>
      <c r="Z38" s="57"/>
      <c r="AA38" s="59" t="s">
        <v>44</v>
      </c>
      <c r="AB38" s="59"/>
      <c r="AC38" s="59"/>
    </row>
    <row r="39" spans="1:29" s="1" customFormat="1" ht="45" customHeight="1">
      <c r="A39" s="27" t="s">
        <v>79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9" t="s">
        <v>34</v>
      </c>
      <c r="N39" s="29"/>
      <c r="O39" s="29"/>
      <c r="P39" s="29" t="s">
        <v>80</v>
      </c>
      <c r="Q39" s="29"/>
      <c r="R39" s="29"/>
      <c r="S39" s="57">
        <f>2000</f>
        <v>2000</v>
      </c>
      <c r="T39" s="57"/>
      <c r="U39" s="57"/>
      <c r="V39" s="31" t="s">
        <v>44</v>
      </c>
      <c r="W39" s="31"/>
      <c r="X39" s="31"/>
      <c r="Y39" s="31"/>
      <c r="Z39" s="31"/>
      <c r="AA39" s="58">
        <f>2000</f>
        <v>2000</v>
      </c>
      <c r="AB39" s="58"/>
      <c r="AC39" s="58"/>
    </row>
    <row r="40" spans="1:29" s="1" customFormat="1" ht="45" customHeight="1">
      <c r="A40" s="27" t="s">
        <v>79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9" t="s">
        <v>34</v>
      </c>
      <c r="N40" s="29"/>
      <c r="O40" s="29"/>
      <c r="P40" s="29" t="s">
        <v>81</v>
      </c>
      <c r="Q40" s="29"/>
      <c r="R40" s="29"/>
      <c r="S40" s="31" t="s">
        <v>44</v>
      </c>
      <c r="T40" s="31"/>
      <c r="U40" s="31"/>
      <c r="V40" s="57">
        <f>500</f>
        <v>500</v>
      </c>
      <c r="W40" s="57"/>
      <c r="X40" s="57"/>
      <c r="Y40" s="57"/>
      <c r="Z40" s="57"/>
      <c r="AA40" s="59" t="s">
        <v>44</v>
      </c>
      <c r="AB40" s="59"/>
      <c r="AC40" s="59"/>
    </row>
    <row r="41" spans="1:29" s="1" customFormat="1" ht="24" customHeight="1">
      <c r="A41" s="27" t="s">
        <v>82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9" t="s">
        <v>34</v>
      </c>
      <c r="N41" s="29"/>
      <c r="O41" s="29"/>
      <c r="P41" s="29" t="s">
        <v>83</v>
      </c>
      <c r="Q41" s="29"/>
      <c r="R41" s="29"/>
      <c r="S41" s="57">
        <f>269800</f>
        <v>269800</v>
      </c>
      <c r="T41" s="57"/>
      <c r="U41" s="57"/>
      <c r="V41" s="57">
        <f>137127.02</f>
        <v>137127.02</v>
      </c>
      <c r="W41" s="57"/>
      <c r="X41" s="57"/>
      <c r="Y41" s="57"/>
      <c r="Z41" s="57"/>
      <c r="AA41" s="58">
        <f>132672.98</f>
        <v>132672.98</v>
      </c>
      <c r="AB41" s="58"/>
      <c r="AC41" s="58"/>
    </row>
    <row r="42" spans="1:29" s="1" customFormat="1" ht="45" customHeight="1">
      <c r="A42" s="27" t="s">
        <v>84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9" t="s">
        <v>34</v>
      </c>
      <c r="N42" s="29"/>
      <c r="O42" s="29"/>
      <c r="P42" s="29" t="s">
        <v>85</v>
      </c>
      <c r="Q42" s="29"/>
      <c r="R42" s="29"/>
      <c r="S42" s="57">
        <f>134100</f>
        <v>134100</v>
      </c>
      <c r="T42" s="57"/>
      <c r="U42" s="57"/>
      <c r="V42" s="57">
        <f>56394.94</f>
        <v>56394.94</v>
      </c>
      <c r="W42" s="57"/>
      <c r="X42" s="57"/>
      <c r="Y42" s="57"/>
      <c r="Z42" s="57"/>
      <c r="AA42" s="58">
        <f>77705.06</f>
        <v>77705.06</v>
      </c>
      <c r="AB42" s="58"/>
      <c r="AC42" s="58"/>
    </row>
    <row r="43" spans="1:29" s="1" customFormat="1" ht="13.5" customHeight="1">
      <c r="A43" s="27" t="s">
        <v>86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9" t="s">
        <v>34</v>
      </c>
      <c r="N43" s="29"/>
      <c r="O43" s="29"/>
      <c r="P43" s="29" t="s">
        <v>87</v>
      </c>
      <c r="Q43" s="29"/>
      <c r="R43" s="29"/>
      <c r="S43" s="31" t="s">
        <v>44</v>
      </c>
      <c r="T43" s="31"/>
      <c r="U43" s="31"/>
      <c r="V43" s="57">
        <f>53798.08</f>
        <v>53798.08</v>
      </c>
      <c r="W43" s="57"/>
      <c r="X43" s="57"/>
      <c r="Y43" s="57"/>
      <c r="Z43" s="57"/>
      <c r="AA43" s="59" t="s">
        <v>44</v>
      </c>
      <c r="AB43" s="59"/>
      <c r="AC43" s="59"/>
    </row>
    <row r="44" spans="1:29" s="1" customFormat="1" ht="24" customHeight="1">
      <c r="A44" s="27" t="s">
        <v>88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9" t="s">
        <v>34</v>
      </c>
      <c r="N44" s="29"/>
      <c r="O44" s="29"/>
      <c r="P44" s="29" t="s">
        <v>89</v>
      </c>
      <c r="Q44" s="29"/>
      <c r="R44" s="29"/>
      <c r="S44" s="57">
        <f>6882700</f>
        <v>6882700</v>
      </c>
      <c r="T44" s="57"/>
      <c r="U44" s="57"/>
      <c r="V44" s="57">
        <f>4458212</f>
        <v>4458212</v>
      </c>
      <c r="W44" s="57"/>
      <c r="X44" s="57"/>
      <c r="Y44" s="57"/>
      <c r="Z44" s="57"/>
      <c r="AA44" s="58">
        <f>2424488</f>
        <v>2424488</v>
      </c>
      <c r="AB44" s="58"/>
      <c r="AC44" s="58"/>
    </row>
    <row r="45" spans="1:29" s="1" customFormat="1" ht="13.5" customHeight="1">
      <c r="A45" s="27" t="s">
        <v>90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9" t="s">
        <v>34</v>
      </c>
      <c r="N45" s="29"/>
      <c r="O45" s="29"/>
      <c r="P45" s="29" t="s">
        <v>91</v>
      </c>
      <c r="Q45" s="29"/>
      <c r="R45" s="29"/>
      <c r="S45" s="57">
        <f>4826.09</f>
        <v>4826.09</v>
      </c>
      <c r="T45" s="57"/>
      <c r="U45" s="57"/>
      <c r="V45" s="31" t="s">
        <v>44</v>
      </c>
      <c r="W45" s="31"/>
      <c r="X45" s="31"/>
      <c r="Y45" s="31"/>
      <c r="Z45" s="31"/>
      <c r="AA45" s="58">
        <f>4826.09</f>
        <v>4826.09</v>
      </c>
      <c r="AB45" s="58"/>
      <c r="AC45" s="58"/>
    </row>
    <row r="46" spans="1:29" s="1" customFormat="1" ht="24" customHeight="1">
      <c r="A46" s="27" t="s">
        <v>92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9" t="s">
        <v>34</v>
      </c>
      <c r="N46" s="29"/>
      <c r="O46" s="29"/>
      <c r="P46" s="29" t="s">
        <v>93</v>
      </c>
      <c r="Q46" s="29"/>
      <c r="R46" s="29"/>
      <c r="S46" s="57">
        <f>12888.48</f>
        <v>12888.48</v>
      </c>
      <c r="T46" s="57"/>
      <c r="U46" s="57"/>
      <c r="V46" s="57">
        <f>12888.48</f>
        <v>12888.48</v>
      </c>
      <c r="W46" s="57"/>
      <c r="X46" s="57"/>
      <c r="Y46" s="57"/>
      <c r="Z46" s="57"/>
      <c r="AA46" s="58">
        <f>0</f>
        <v>0</v>
      </c>
      <c r="AB46" s="58"/>
      <c r="AC46" s="58"/>
    </row>
    <row r="47" spans="1:29" s="1" customFormat="1" ht="24" customHeight="1">
      <c r="A47" s="27" t="s">
        <v>94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9" t="s">
        <v>34</v>
      </c>
      <c r="N47" s="29"/>
      <c r="O47" s="29"/>
      <c r="P47" s="29" t="s">
        <v>95</v>
      </c>
      <c r="Q47" s="29"/>
      <c r="R47" s="29"/>
      <c r="S47" s="57">
        <f>109500</f>
        <v>109500</v>
      </c>
      <c r="T47" s="57"/>
      <c r="U47" s="57"/>
      <c r="V47" s="57">
        <f>43077.15</f>
        <v>43077.15</v>
      </c>
      <c r="W47" s="57"/>
      <c r="X47" s="57"/>
      <c r="Y47" s="57"/>
      <c r="Z47" s="57"/>
      <c r="AA47" s="58">
        <f>66422.85</f>
        <v>66422.85</v>
      </c>
      <c r="AB47" s="58"/>
      <c r="AC47" s="58"/>
    </row>
    <row r="48" spans="1:29" s="1" customFormat="1" ht="24" customHeight="1">
      <c r="A48" s="27" t="s">
        <v>96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9" t="s">
        <v>34</v>
      </c>
      <c r="N48" s="29"/>
      <c r="O48" s="29"/>
      <c r="P48" s="29" t="s">
        <v>97</v>
      </c>
      <c r="Q48" s="29"/>
      <c r="R48" s="29"/>
      <c r="S48" s="57">
        <f>5000</f>
        <v>5000</v>
      </c>
      <c r="T48" s="57"/>
      <c r="U48" s="57"/>
      <c r="V48" s="57">
        <f>1000</f>
        <v>1000</v>
      </c>
      <c r="W48" s="57"/>
      <c r="X48" s="57"/>
      <c r="Y48" s="57"/>
      <c r="Z48" s="57"/>
      <c r="AA48" s="58">
        <f>4000</f>
        <v>4000</v>
      </c>
      <c r="AB48" s="58"/>
      <c r="AC48" s="58"/>
    </row>
    <row r="49" spans="1:29" s="1" customFormat="1" ht="24" customHeight="1">
      <c r="A49" s="27" t="s">
        <v>98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9" t="s">
        <v>34</v>
      </c>
      <c r="N49" s="29"/>
      <c r="O49" s="29"/>
      <c r="P49" s="29" t="s">
        <v>99</v>
      </c>
      <c r="Q49" s="29"/>
      <c r="R49" s="29"/>
      <c r="S49" s="57">
        <f>22157897.19</f>
        <v>22157897.19</v>
      </c>
      <c r="T49" s="57"/>
      <c r="U49" s="57"/>
      <c r="V49" s="57">
        <f>15451079.24</f>
        <v>15451079.24</v>
      </c>
      <c r="W49" s="57"/>
      <c r="X49" s="57"/>
      <c r="Y49" s="57"/>
      <c r="Z49" s="57"/>
      <c r="AA49" s="58">
        <f>6706817.95</f>
        <v>6706817.95</v>
      </c>
      <c r="AB49" s="58"/>
      <c r="AC49" s="58"/>
    </row>
    <row r="50" spans="1:29" s="1" customFormat="1" ht="13.5" customHeight="1">
      <c r="A50" s="56" t="s">
        <v>10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</row>
    <row r="51" spans="1:29" s="1" customFormat="1" ht="13.5" customHeight="1">
      <c r="A51" s="44" t="s">
        <v>100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1:29" s="1" customFormat="1" ht="34.5" customHeight="1">
      <c r="A52" s="45" t="s">
        <v>21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 t="s">
        <v>22</v>
      </c>
      <c r="M52" s="45"/>
      <c r="N52" s="45"/>
      <c r="O52" s="45" t="s">
        <v>101</v>
      </c>
      <c r="P52" s="45"/>
      <c r="Q52" s="45"/>
      <c r="R52" s="46" t="s">
        <v>102</v>
      </c>
      <c r="S52" s="46"/>
      <c r="T52" s="46" t="s">
        <v>24</v>
      </c>
      <c r="U52" s="46"/>
      <c r="V52" s="46"/>
      <c r="W52" s="46" t="s">
        <v>25</v>
      </c>
      <c r="X52" s="46"/>
      <c r="Y52" s="46"/>
      <c r="Z52" s="46"/>
      <c r="AA52" s="46"/>
      <c r="AB52" s="47" t="s">
        <v>26</v>
      </c>
      <c r="AC52" s="47"/>
    </row>
    <row r="53" spans="1:29" s="1" customFormat="1" ht="13.5" customHeight="1">
      <c r="A53" s="40" t="s">
        <v>27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 t="s">
        <v>28</v>
      </c>
      <c r="M53" s="40"/>
      <c r="N53" s="40"/>
      <c r="O53" s="40" t="s">
        <v>29</v>
      </c>
      <c r="P53" s="40"/>
      <c r="Q53" s="40"/>
      <c r="R53" s="41" t="s">
        <v>30</v>
      </c>
      <c r="S53" s="41"/>
      <c r="T53" s="41" t="s">
        <v>31</v>
      </c>
      <c r="U53" s="41"/>
      <c r="V53" s="41"/>
      <c r="W53" s="41" t="s">
        <v>32</v>
      </c>
      <c r="X53" s="41"/>
      <c r="Y53" s="41"/>
      <c r="Z53" s="41"/>
      <c r="AA53" s="41"/>
      <c r="AB53" s="42" t="s">
        <v>103</v>
      </c>
      <c r="AC53" s="42"/>
    </row>
    <row r="54" spans="1:29" s="1" customFormat="1" ht="13.5" customHeight="1">
      <c r="A54" s="35" t="s">
        <v>104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6" t="s">
        <v>105</v>
      </c>
      <c r="M54" s="36"/>
      <c r="N54" s="36"/>
      <c r="O54" s="36" t="s">
        <v>35</v>
      </c>
      <c r="P54" s="36"/>
      <c r="Q54" s="36"/>
      <c r="R54" s="54" t="s">
        <v>35</v>
      </c>
      <c r="S54" s="54"/>
      <c r="T54" s="38">
        <f>33314423.05</f>
        <v>33314423.05</v>
      </c>
      <c r="U54" s="38"/>
      <c r="V54" s="38"/>
      <c r="W54" s="38">
        <f>17485815.89</f>
        <v>17485815.89</v>
      </c>
      <c r="X54" s="38"/>
      <c r="Y54" s="38"/>
      <c r="Z54" s="38"/>
      <c r="AA54" s="38"/>
      <c r="AB54" s="55">
        <f>15828607.16</f>
        <v>15828607.16</v>
      </c>
      <c r="AC54" s="55"/>
    </row>
    <row r="55" spans="1:29" s="1" customFormat="1" ht="13.5" customHeight="1">
      <c r="A55" s="14" t="s">
        <v>106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105</v>
      </c>
      <c r="M55" s="15"/>
      <c r="N55" s="15"/>
      <c r="O55" s="15" t="s">
        <v>107</v>
      </c>
      <c r="P55" s="15"/>
      <c r="Q55" s="15"/>
      <c r="R55" s="23" t="s">
        <v>108</v>
      </c>
      <c r="S55" s="23"/>
      <c r="T55" s="17">
        <f>874095.62</f>
        <v>874095.62</v>
      </c>
      <c r="U55" s="17"/>
      <c r="V55" s="17"/>
      <c r="W55" s="17">
        <f>699271.47</f>
        <v>699271.47</v>
      </c>
      <c r="X55" s="17"/>
      <c r="Y55" s="17"/>
      <c r="Z55" s="17"/>
      <c r="AA55" s="17"/>
      <c r="AB55" s="52">
        <f>174824.15</f>
        <v>174824.15</v>
      </c>
      <c r="AC55" s="52"/>
    </row>
    <row r="56" spans="1:29" s="1" customFormat="1" ht="13.5" customHeight="1">
      <c r="A56" s="14" t="s">
        <v>109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105</v>
      </c>
      <c r="M56" s="15"/>
      <c r="N56" s="15"/>
      <c r="O56" s="15" t="s">
        <v>107</v>
      </c>
      <c r="P56" s="15"/>
      <c r="Q56" s="15"/>
      <c r="R56" s="23" t="s">
        <v>110</v>
      </c>
      <c r="S56" s="23"/>
      <c r="T56" s="17">
        <f>10000</f>
        <v>10000</v>
      </c>
      <c r="U56" s="17"/>
      <c r="V56" s="17"/>
      <c r="W56" s="21" t="s">
        <v>44</v>
      </c>
      <c r="X56" s="21"/>
      <c r="Y56" s="21"/>
      <c r="Z56" s="21"/>
      <c r="AA56" s="21"/>
      <c r="AB56" s="52">
        <f>10000</f>
        <v>10000</v>
      </c>
      <c r="AC56" s="52"/>
    </row>
    <row r="57" spans="1:29" s="1" customFormat="1" ht="13.5" customHeight="1">
      <c r="A57" s="14" t="s">
        <v>111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105</v>
      </c>
      <c r="M57" s="15"/>
      <c r="N57" s="15"/>
      <c r="O57" s="15" t="s">
        <v>112</v>
      </c>
      <c r="P57" s="15"/>
      <c r="Q57" s="15"/>
      <c r="R57" s="23" t="s">
        <v>113</v>
      </c>
      <c r="S57" s="23"/>
      <c r="T57" s="17">
        <f>129606.8</f>
        <v>129606.8</v>
      </c>
      <c r="U57" s="17"/>
      <c r="V57" s="17"/>
      <c r="W57" s="17">
        <f>129606.8</f>
        <v>129606.8</v>
      </c>
      <c r="X57" s="17"/>
      <c r="Y57" s="17"/>
      <c r="Z57" s="17"/>
      <c r="AA57" s="17"/>
      <c r="AB57" s="52">
        <f>0</f>
        <v>0</v>
      </c>
      <c r="AC57" s="52"/>
    </row>
    <row r="58" spans="1:29" s="1" customFormat="1" ht="13.5" customHeight="1">
      <c r="A58" s="14" t="s">
        <v>114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105</v>
      </c>
      <c r="M58" s="15"/>
      <c r="N58" s="15"/>
      <c r="O58" s="15" t="s">
        <v>115</v>
      </c>
      <c r="P58" s="15"/>
      <c r="Q58" s="15"/>
      <c r="R58" s="23" t="s">
        <v>116</v>
      </c>
      <c r="S58" s="23"/>
      <c r="T58" s="17">
        <f>213393.2</f>
        <v>213393.2</v>
      </c>
      <c r="U58" s="17"/>
      <c r="V58" s="17"/>
      <c r="W58" s="17">
        <f>167292.81</f>
        <v>167292.81</v>
      </c>
      <c r="X58" s="17"/>
      <c r="Y58" s="17"/>
      <c r="Z58" s="17"/>
      <c r="AA58" s="17"/>
      <c r="AB58" s="52">
        <f>46100.39</f>
        <v>46100.39</v>
      </c>
      <c r="AC58" s="52"/>
    </row>
    <row r="59" spans="1:29" s="1" customFormat="1" ht="13.5" customHeight="1">
      <c r="A59" s="14" t="s">
        <v>106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105</v>
      </c>
      <c r="M59" s="15"/>
      <c r="N59" s="15"/>
      <c r="O59" s="15" t="s">
        <v>117</v>
      </c>
      <c r="P59" s="15"/>
      <c r="Q59" s="15"/>
      <c r="R59" s="23" t="s">
        <v>108</v>
      </c>
      <c r="S59" s="23"/>
      <c r="T59" s="17">
        <f>2095380.34</f>
        <v>2095380.34</v>
      </c>
      <c r="U59" s="17"/>
      <c r="V59" s="17"/>
      <c r="W59" s="17">
        <f>993352.35</f>
        <v>993352.35</v>
      </c>
      <c r="X59" s="17"/>
      <c r="Y59" s="17"/>
      <c r="Z59" s="17"/>
      <c r="AA59" s="17"/>
      <c r="AB59" s="52">
        <f>1102027.99</f>
        <v>1102027.99</v>
      </c>
      <c r="AC59" s="52"/>
    </row>
    <row r="60" spans="1:29" s="1" customFormat="1" ht="13.5" customHeight="1">
      <c r="A60" s="14" t="s">
        <v>109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105</v>
      </c>
      <c r="M60" s="15"/>
      <c r="N60" s="15"/>
      <c r="O60" s="15" t="s">
        <v>117</v>
      </c>
      <c r="P60" s="15"/>
      <c r="Q60" s="15"/>
      <c r="R60" s="23" t="s">
        <v>110</v>
      </c>
      <c r="S60" s="23"/>
      <c r="T60" s="17">
        <f>15000</f>
        <v>15000</v>
      </c>
      <c r="U60" s="17"/>
      <c r="V60" s="17"/>
      <c r="W60" s="17">
        <f>11630.86</f>
        <v>11630.86</v>
      </c>
      <c r="X60" s="17"/>
      <c r="Y60" s="17"/>
      <c r="Z60" s="17"/>
      <c r="AA60" s="17"/>
      <c r="AB60" s="52">
        <f>3369.14</f>
        <v>3369.14</v>
      </c>
      <c r="AC60" s="52"/>
    </row>
    <row r="61" spans="1:29" s="1" customFormat="1" ht="13.5" customHeight="1">
      <c r="A61" s="14" t="s">
        <v>111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105</v>
      </c>
      <c r="M61" s="15"/>
      <c r="N61" s="15"/>
      <c r="O61" s="15" t="s">
        <v>118</v>
      </c>
      <c r="P61" s="15"/>
      <c r="Q61" s="15"/>
      <c r="R61" s="23" t="s">
        <v>113</v>
      </c>
      <c r="S61" s="23"/>
      <c r="T61" s="17">
        <f>295000</f>
        <v>295000</v>
      </c>
      <c r="U61" s="17"/>
      <c r="V61" s="17"/>
      <c r="W61" s="17">
        <f>100000</f>
        <v>100000</v>
      </c>
      <c r="X61" s="17"/>
      <c r="Y61" s="17"/>
      <c r="Z61" s="17"/>
      <c r="AA61" s="17"/>
      <c r="AB61" s="52">
        <f>195000</f>
        <v>195000</v>
      </c>
      <c r="AC61" s="52"/>
    </row>
    <row r="62" spans="1:29" s="1" customFormat="1" ht="13.5" customHeight="1">
      <c r="A62" s="14" t="s">
        <v>119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105</v>
      </c>
      <c r="M62" s="15"/>
      <c r="N62" s="15"/>
      <c r="O62" s="15" t="s">
        <v>118</v>
      </c>
      <c r="P62" s="15"/>
      <c r="Q62" s="15"/>
      <c r="R62" s="23" t="s">
        <v>120</v>
      </c>
      <c r="S62" s="23"/>
      <c r="T62" s="17">
        <f>180470.08</f>
        <v>180470.08</v>
      </c>
      <c r="U62" s="17"/>
      <c r="V62" s="17"/>
      <c r="W62" s="21" t="s">
        <v>44</v>
      </c>
      <c r="X62" s="21"/>
      <c r="Y62" s="21"/>
      <c r="Z62" s="21"/>
      <c r="AA62" s="21"/>
      <c r="AB62" s="52">
        <f>180470.08</f>
        <v>180470.08</v>
      </c>
      <c r="AC62" s="52"/>
    </row>
    <row r="63" spans="1:29" s="1" customFormat="1" ht="13.5" customHeight="1">
      <c r="A63" s="14" t="s">
        <v>114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105</v>
      </c>
      <c r="M63" s="15"/>
      <c r="N63" s="15"/>
      <c r="O63" s="15" t="s">
        <v>121</v>
      </c>
      <c r="P63" s="15"/>
      <c r="Q63" s="15"/>
      <c r="R63" s="23" t="s">
        <v>116</v>
      </c>
      <c r="S63" s="23"/>
      <c r="T63" s="17">
        <f>592792.98</f>
        <v>592792.98</v>
      </c>
      <c r="U63" s="17"/>
      <c r="V63" s="17"/>
      <c r="W63" s="17">
        <f>328640.18</f>
        <v>328640.18</v>
      </c>
      <c r="X63" s="17"/>
      <c r="Y63" s="17"/>
      <c r="Z63" s="17"/>
      <c r="AA63" s="17"/>
      <c r="AB63" s="52">
        <f>264152.8</f>
        <v>264152.8</v>
      </c>
      <c r="AC63" s="52"/>
    </row>
    <row r="64" spans="1:29" s="1" customFormat="1" ht="13.5" customHeight="1">
      <c r="A64" s="14" t="s">
        <v>106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105</v>
      </c>
      <c r="M64" s="15"/>
      <c r="N64" s="15"/>
      <c r="O64" s="15" t="s">
        <v>122</v>
      </c>
      <c r="P64" s="15"/>
      <c r="Q64" s="15"/>
      <c r="R64" s="23" t="s">
        <v>108</v>
      </c>
      <c r="S64" s="23"/>
      <c r="T64" s="17">
        <f>824619.66</f>
        <v>824619.66</v>
      </c>
      <c r="U64" s="17"/>
      <c r="V64" s="17"/>
      <c r="W64" s="17">
        <f>824619.66</f>
        <v>824619.66</v>
      </c>
      <c r="X64" s="17"/>
      <c r="Y64" s="17"/>
      <c r="Z64" s="17"/>
      <c r="AA64" s="17"/>
      <c r="AB64" s="52">
        <f>0</f>
        <v>0</v>
      </c>
      <c r="AC64" s="52"/>
    </row>
    <row r="65" spans="1:29" s="1" customFormat="1" ht="13.5" customHeight="1">
      <c r="A65" s="14" t="s">
        <v>111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105</v>
      </c>
      <c r="M65" s="15"/>
      <c r="N65" s="15"/>
      <c r="O65" s="15" t="s">
        <v>123</v>
      </c>
      <c r="P65" s="15"/>
      <c r="Q65" s="15"/>
      <c r="R65" s="23" t="s">
        <v>113</v>
      </c>
      <c r="S65" s="23"/>
      <c r="T65" s="17">
        <f>65000</f>
        <v>65000</v>
      </c>
      <c r="U65" s="17"/>
      <c r="V65" s="17"/>
      <c r="W65" s="17">
        <f>65000</f>
        <v>65000</v>
      </c>
      <c r="X65" s="17"/>
      <c r="Y65" s="17"/>
      <c r="Z65" s="17"/>
      <c r="AA65" s="17"/>
      <c r="AB65" s="52">
        <f>0</f>
        <v>0</v>
      </c>
      <c r="AC65" s="52"/>
    </row>
    <row r="66" spans="1:29" s="1" customFormat="1" ht="13.5" customHeight="1">
      <c r="A66" s="14" t="s">
        <v>114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105</v>
      </c>
      <c r="M66" s="15"/>
      <c r="N66" s="15"/>
      <c r="O66" s="15" t="s">
        <v>124</v>
      </c>
      <c r="P66" s="15"/>
      <c r="Q66" s="15"/>
      <c r="R66" s="23" t="s">
        <v>116</v>
      </c>
      <c r="S66" s="23"/>
      <c r="T66" s="17">
        <f>272207.02</f>
        <v>272207.02</v>
      </c>
      <c r="U66" s="17"/>
      <c r="V66" s="17"/>
      <c r="W66" s="17">
        <f>265766.05</f>
        <v>265766.05</v>
      </c>
      <c r="X66" s="17"/>
      <c r="Y66" s="17"/>
      <c r="Z66" s="17"/>
      <c r="AA66" s="17"/>
      <c r="AB66" s="52">
        <f>6440.97</f>
        <v>6440.97</v>
      </c>
      <c r="AC66" s="52"/>
    </row>
    <row r="67" spans="1:29" s="1" customFormat="1" ht="13.5" customHeight="1">
      <c r="A67" s="14" t="s">
        <v>125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105</v>
      </c>
      <c r="M67" s="15"/>
      <c r="N67" s="15"/>
      <c r="O67" s="15" t="s">
        <v>126</v>
      </c>
      <c r="P67" s="15"/>
      <c r="Q67" s="15"/>
      <c r="R67" s="23" t="s">
        <v>105</v>
      </c>
      <c r="S67" s="23"/>
      <c r="T67" s="17">
        <f>91000</f>
        <v>91000</v>
      </c>
      <c r="U67" s="17"/>
      <c r="V67" s="17"/>
      <c r="W67" s="21" t="s">
        <v>44</v>
      </c>
      <c r="X67" s="21"/>
      <c r="Y67" s="21"/>
      <c r="Z67" s="21"/>
      <c r="AA67" s="21"/>
      <c r="AB67" s="52">
        <f>91000</f>
        <v>91000</v>
      </c>
      <c r="AC67" s="52"/>
    </row>
    <row r="68" spans="1:29" s="1" customFormat="1" ht="13.5" customHeight="1">
      <c r="A68" s="14" t="s">
        <v>106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105</v>
      </c>
      <c r="M68" s="15"/>
      <c r="N68" s="15"/>
      <c r="O68" s="15" t="s">
        <v>127</v>
      </c>
      <c r="P68" s="15"/>
      <c r="Q68" s="15"/>
      <c r="R68" s="23" t="s">
        <v>108</v>
      </c>
      <c r="S68" s="23"/>
      <c r="T68" s="17">
        <f>4283053.25</f>
        <v>4283053.25</v>
      </c>
      <c r="U68" s="17"/>
      <c r="V68" s="17"/>
      <c r="W68" s="17">
        <f>1226088.44</f>
        <v>1226088.44</v>
      </c>
      <c r="X68" s="17"/>
      <c r="Y68" s="17"/>
      <c r="Z68" s="17"/>
      <c r="AA68" s="17"/>
      <c r="AB68" s="52">
        <f>3056964.81</f>
        <v>3056964.81</v>
      </c>
      <c r="AC68" s="52"/>
    </row>
    <row r="69" spans="1:29" s="1" customFormat="1" ht="13.5" customHeight="1">
      <c r="A69" s="14" t="s">
        <v>109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105</v>
      </c>
      <c r="M69" s="15"/>
      <c r="N69" s="15"/>
      <c r="O69" s="15" t="s">
        <v>127</v>
      </c>
      <c r="P69" s="15"/>
      <c r="Q69" s="15"/>
      <c r="R69" s="23" t="s">
        <v>110</v>
      </c>
      <c r="S69" s="23"/>
      <c r="T69" s="17">
        <f>10000</f>
        <v>10000</v>
      </c>
      <c r="U69" s="17"/>
      <c r="V69" s="17"/>
      <c r="W69" s="21" t="s">
        <v>44</v>
      </c>
      <c r="X69" s="21"/>
      <c r="Y69" s="21"/>
      <c r="Z69" s="21"/>
      <c r="AA69" s="21"/>
      <c r="AB69" s="52">
        <f>10000</f>
        <v>10000</v>
      </c>
      <c r="AC69" s="52"/>
    </row>
    <row r="70" spans="1:29" s="1" customFormat="1" ht="13.5" customHeight="1">
      <c r="A70" s="14" t="s">
        <v>119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105</v>
      </c>
      <c r="M70" s="15"/>
      <c r="N70" s="15"/>
      <c r="O70" s="15" t="s">
        <v>128</v>
      </c>
      <c r="P70" s="15"/>
      <c r="Q70" s="15"/>
      <c r="R70" s="23" t="s">
        <v>120</v>
      </c>
      <c r="S70" s="23"/>
      <c r="T70" s="17">
        <f>5000</f>
        <v>5000</v>
      </c>
      <c r="U70" s="17"/>
      <c r="V70" s="17"/>
      <c r="W70" s="17">
        <f>5000</f>
        <v>5000</v>
      </c>
      <c r="X70" s="17"/>
      <c r="Y70" s="17"/>
      <c r="Z70" s="17"/>
      <c r="AA70" s="17"/>
      <c r="AB70" s="52">
        <f>0</f>
        <v>0</v>
      </c>
      <c r="AC70" s="52"/>
    </row>
    <row r="71" spans="1:29" s="1" customFormat="1" ht="13.5" customHeight="1">
      <c r="A71" s="14" t="s">
        <v>114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105</v>
      </c>
      <c r="M71" s="15"/>
      <c r="N71" s="15"/>
      <c r="O71" s="15" t="s">
        <v>129</v>
      </c>
      <c r="P71" s="15"/>
      <c r="Q71" s="15"/>
      <c r="R71" s="23" t="s">
        <v>116</v>
      </c>
      <c r="S71" s="23"/>
      <c r="T71" s="17">
        <f>1312090.8</f>
        <v>1312090.8</v>
      </c>
      <c r="U71" s="17"/>
      <c r="V71" s="17"/>
      <c r="W71" s="17">
        <v>364122.75</v>
      </c>
      <c r="X71" s="17"/>
      <c r="Y71" s="17"/>
      <c r="Z71" s="17"/>
      <c r="AA71" s="17"/>
      <c r="AB71" s="52">
        <f>T71-W71</f>
        <v>947968.05</v>
      </c>
      <c r="AC71" s="52"/>
    </row>
    <row r="72" spans="1:29" s="1" customFormat="1" ht="13.5" customHeight="1">
      <c r="A72" s="14" t="s">
        <v>130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105</v>
      </c>
      <c r="M72" s="15"/>
      <c r="N72" s="15"/>
      <c r="O72" s="15" t="s">
        <v>131</v>
      </c>
      <c r="P72" s="15"/>
      <c r="Q72" s="15"/>
      <c r="R72" s="23" t="s">
        <v>132</v>
      </c>
      <c r="S72" s="23"/>
      <c r="T72" s="17">
        <f>85139.32</f>
        <v>85139.32</v>
      </c>
      <c r="U72" s="17"/>
      <c r="V72" s="17"/>
      <c r="W72" s="17">
        <f>49933.82</f>
        <v>49933.82</v>
      </c>
      <c r="X72" s="17"/>
      <c r="Y72" s="17"/>
      <c r="Z72" s="17"/>
      <c r="AA72" s="17"/>
      <c r="AB72" s="52">
        <f>35205.5</f>
        <v>35205.5</v>
      </c>
      <c r="AC72" s="52"/>
    </row>
    <row r="73" spans="1:29" s="1" customFormat="1" ht="13.5" customHeight="1">
      <c r="A73" s="14" t="s">
        <v>133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105</v>
      </c>
      <c r="M73" s="15"/>
      <c r="N73" s="15"/>
      <c r="O73" s="15" t="s">
        <v>131</v>
      </c>
      <c r="P73" s="15"/>
      <c r="Q73" s="15"/>
      <c r="R73" s="23" t="s">
        <v>134</v>
      </c>
      <c r="S73" s="23"/>
      <c r="T73" s="17">
        <f>99000</f>
        <v>99000</v>
      </c>
      <c r="U73" s="17"/>
      <c r="V73" s="17"/>
      <c r="W73" s="17">
        <f>29689.43</f>
        <v>29689.43</v>
      </c>
      <c r="X73" s="17"/>
      <c r="Y73" s="17"/>
      <c r="Z73" s="17"/>
      <c r="AA73" s="17"/>
      <c r="AB73" s="52">
        <f>69310.57</f>
        <v>69310.57</v>
      </c>
      <c r="AC73" s="52"/>
    </row>
    <row r="74" spans="1:29" s="1" customFormat="1" ht="13.5" customHeight="1">
      <c r="A74" s="14" t="s">
        <v>135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105</v>
      </c>
      <c r="M74" s="15"/>
      <c r="N74" s="15"/>
      <c r="O74" s="15" t="s">
        <v>131</v>
      </c>
      <c r="P74" s="15"/>
      <c r="Q74" s="15"/>
      <c r="R74" s="23" t="s">
        <v>136</v>
      </c>
      <c r="S74" s="23"/>
      <c r="T74" s="17">
        <f>162660.68</f>
        <v>162660.68</v>
      </c>
      <c r="U74" s="17"/>
      <c r="V74" s="17"/>
      <c r="W74" s="17">
        <f>48362.8</f>
        <v>48362.8</v>
      </c>
      <c r="X74" s="17"/>
      <c r="Y74" s="17"/>
      <c r="Z74" s="17"/>
      <c r="AA74" s="17"/>
      <c r="AB74" s="52">
        <f>114297.88</f>
        <v>114297.88</v>
      </c>
      <c r="AC74" s="52"/>
    </row>
    <row r="75" spans="1:29" s="1" customFormat="1" ht="13.5" customHeight="1">
      <c r="A75" s="14" t="s">
        <v>130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105</v>
      </c>
      <c r="M75" s="15"/>
      <c r="N75" s="15"/>
      <c r="O75" s="15" t="s">
        <v>137</v>
      </c>
      <c r="P75" s="15"/>
      <c r="Q75" s="15"/>
      <c r="R75" s="23" t="s">
        <v>132</v>
      </c>
      <c r="S75" s="23"/>
      <c r="T75" s="17">
        <f>15300</f>
        <v>15300</v>
      </c>
      <c r="U75" s="17"/>
      <c r="V75" s="17"/>
      <c r="W75" s="17">
        <f>15000</f>
        <v>15000</v>
      </c>
      <c r="X75" s="17"/>
      <c r="Y75" s="17"/>
      <c r="Z75" s="17"/>
      <c r="AA75" s="17"/>
      <c r="AB75" s="52">
        <f>300</f>
        <v>300</v>
      </c>
      <c r="AC75" s="52"/>
    </row>
    <row r="76" spans="1:29" s="1" customFormat="1" ht="13.5" customHeight="1">
      <c r="A76" s="14" t="s">
        <v>138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105</v>
      </c>
      <c r="M76" s="15"/>
      <c r="N76" s="15"/>
      <c r="O76" s="15" t="s">
        <v>137</v>
      </c>
      <c r="P76" s="15"/>
      <c r="Q76" s="15"/>
      <c r="R76" s="23" t="s">
        <v>139</v>
      </c>
      <c r="S76" s="23"/>
      <c r="T76" s="17">
        <f>58411</f>
        <v>58411</v>
      </c>
      <c r="U76" s="17"/>
      <c r="V76" s="17"/>
      <c r="W76" s="17">
        <f>58411</f>
        <v>58411</v>
      </c>
      <c r="X76" s="17"/>
      <c r="Y76" s="17"/>
      <c r="Z76" s="17"/>
      <c r="AA76" s="17"/>
      <c r="AB76" s="52">
        <f>0</f>
        <v>0</v>
      </c>
      <c r="AC76" s="52"/>
    </row>
    <row r="77" spans="1:29" s="1" customFormat="1" ht="13.5" customHeight="1">
      <c r="A77" s="14" t="s">
        <v>140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105</v>
      </c>
      <c r="M77" s="15"/>
      <c r="N77" s="15"/>
      <c r="O77" s="15" t="s">
        <v>137</v>
      </c>
      <c r="P77" s="15"/>
      <c r="Q77" s="15"/>
      <c r="R77" s="23" t="s">
        <v>141</v>
      </c>
      <c r="S77" s="23"/>
      <c r="T77" s="17">
        <f>884692.24</f>
        <v>884692.24</v>
      </c>
      <c r="U77" s="17"/>
      <c r="V77" s="17"/>
      <c r="W77" s="17">
        <f>251404.35</f>
        <v>251404.35</v>
      </c>
      <c r="X77" s="17"/>
      <c r="Y77" s="17"/>
      <c r="Z77" s="17"/>
      <c r="AA77" s="17"/>
      <c r="AB77" s="52">
        <f>633287.89</f>
        <v>633287.89</v>
      </c>
      <c r="AC77" s="52"/>
    </row>
    <row r="78" spans="1:29" s="1" customFormat="1" ht="13.5" customHeight="1">
      <c r="A78" s="14" t="s">
        <v>133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105</v>
      </c>
      <c r="M78" s="15"/>
      <c r="N78" s="15"/>
      <c r="O78" s="15" t="s">
        <v>137</v>
      </c>
      <c r="P78" s="15"/>
      <c r="Q78" s="15"/>
      <c r="R78" s="23" t="s">
        <v>134</v>
      </c>
      <c r="S78" s="23"/>
      <c r="T78" s="17">
        <f>1851525.49</f>
        <v>1851525.49</v>
      </c>
      <c r="U78" s="17"/>
      <c r="V78" s="17"/>
      <c r="W78" s="17">
        <f>31028.83</f>
        <v>31028.83</v>
      </c>
      <c r="X78" s="17"/>
      <c r="Y78" s="17"/>
      <c r="Z78" s="17"/>
      <c r="AA78" s="17"/>
      <c r="AB78" s="52">
        <f>1820496.66</f>
        <v>1820496.66</v>
      </c>
      <c r="AC78" s="52"/>
    </row>
    <row r="79" spans="1:29" s="1" customFormat="1" ht="13.5" customHeight="1">
      <c r="A79" s="14" t="s">
        <v>135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105</v>
      </c>
      <c r="M79" s="15"/>
      <c r="N79" s="15"/>
      <c r="O79" s="15" t="s">
        <v>137</v>
      </c>
      <c r="P79" s="15"/>
      <c r="Q79" s="15"/>
      <c r="R79" s="23" t="s">
        <v>136</v>
      </c>
      <c r="S79" s="23"/>
      <c r="T79" s="17">
        <f>29960</f>
        <v>29960</v>
      </c>
      <c r="U79" s="17"/>
      <c r="V79" s="17"/>
      <c r="W79" s="17">
        <f>4872</f>
        <v>4872</v>
      </c>
      <c r="X79" s="17"/>
      <c r="Y79" s="17"/>
      <c r="Z79" s="17"/>
      <c r="AA79" s="17"/>
      <c r="AB79" s="52">
        <f>25088</f>
        <v>25088</v>
      </c>
      <c r="AC79" s="52"/>
    </row>
    <row r="80" spans="1:29" s="1" customFormat="1" ht="13.5" customHeight="1">
      <c r="A80" s="14" t="s">
        <v>142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105</v>
      </c>
      <c r="M80" s="15"/>
      <c r="N80" s="15"/>
      <c r="O80" s="15" t="s">
        <v>137</v>
      </c>
      <c r="P80" s="15"/>
      <c r="Q80" s="15"/>
      <c r="R80" s="23" t="s">
        <v>143</v>
      </c>
      <c r="S80" s="23"/>
      <c r="T80" s="17">
        <f>38684</f>
        <v>38684</v>
      </c>
      <c r="U80" s="17"/>
      <c r="V80" s="17"/>
      <c r="W80" s="17">
        <f>10831.59</f>
        <v>10831.59</v>
      </c>
      <c r="X80" s="17"/>
      <c r="Y80" s="17"/>
      <c r="Z80" s="17"/>
      <c r="AA80" s="17"/>
      <c r="AB80" s="52">
        <f>27852.41</f>
        <v>27852.41</v>
      </c>
      <c r="AC80" s="52"/>
    </row>
    <row r="81" spans="1:29" s="1" customFormat="1" ht="13.5" customHeight="1">
      <c r="A81" s="14" t="s">
        <v>144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105</v>
      </c>
      <c r="M81" s="15"/>
      <c r="N81" s="15"/>
      <c r="O81" s="15" t="s">
        <v>137</v>
      </c>
      <c r="P81" s="15"/>
      <c r="Q81" s="15"/>
      <c r="R81" s="23" t="s">
        <v>145</v>
      </c>
      <c r="S81" s="23"/>
      <c r="T81" s="17">
        <f>305499</f>
        <v>305499</v>
      </c>
      <c r="U81" s="17"/>
      <c r="V81" s="17"/>
      <c r="W81" s="17">
        <f>304173</f>
        <v>304173</v>
      </c>
      <c r="X81" s="17"/>
      <c r="Y81" s="17"/>
      <c r="Z81" s="17"/>
      <c r="AA81" s="17"/>
      <c r="AB81" s="52">
        <f>1326</f>
        <v>1326</v>
      </c>
      <c r="AC81" s="52"/>
    </row>
    <row r="82" spans="1:29" s="1" customFormat="1" ht="13.5" customHeight="1">
      <c r="A82" s="14" t="s">
        <v>146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105</v>
      </c>
      <c r="M82" s="15"/>
      <c r="N82" s="15"/>
      <c r="O82" s="15" t="s">
        <v>137</v>
      </c>
      <c r="P82" s="15"/>
      <c r="Q82" s="15"/>
      <c r="R82" s="23" t="s">
        <v>147</v>
      </c>
      <c r="S82" s="23"/>
      <c r="T82" s="17">
        <f>428963.14</f>
        <v>428963.14</v>
      </c>
      <c r="U82" s="17"/>
      <c r="V82" s="17"/>
      <c r="W82" s="17">
        <f>420069.01</f>
        <v>420069.01</v>
      </c>
      <c r="X82" s="17"/>
      <c r="Y82" s="17"/>
      <c r="Z82" s="17"/>
      <c r="AA82" s="17"/>
      <c r="AB82" s="52">
        <f>8894.13</f>
        <v>8894.13</v>
      </c>
      <c r="AC82" s="52"/>
    </row>
    <row r="83" spans="1:29" s="1" customFormat="1" ht="13.5" customHeight="1">
      <c r="A83" s="14" t="s">
        <v>148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105</v>
      </c>
      <c r="M83" s="15"/>
      <c r="N83" s="15"/>
      <c r="O83" s="15" t="s">
        <v>137</v>
      </c>
      <c r="P83" s="15"/>
      <c r="Q83" s="15"/>
      <c r="R83" s="23" t="s">
        <v>149</v>
      </c>
      <c r="S83" s="23"/>
      <c r="T83" s="17">
        <f>30000</f>
        <v>30000</v>
      </c>
      <c r="U83" s="17"/>
      <c r="V83" s="17"/>
      <c r="W83" s="17">
        <f>26070.3</f>
        <v>26070.3</v>
      </c>
      <c r="X83" s="17"/>
      <c r="Y83" s="17"/>
      <c r="Z83" s="17"/>
      <c r="AA83" s="17"/>
      <c r="AB83" s="52">
        <f>3929.7</f>
        <v>3929.7</v>
      </c>
      <c r="AC83" s="52"/>
    </row>
    <row r="84" spans="1:29" s="1" customFormat="1" ht="13.5" customHeight="1">
      <c r="A84" s="14" t="s">
        <v>150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105</v>
      </c>
      <c r="M84" s="15"/>
      <c r="N84" s="15"/>
      <c r="O84" s="15" t="s">
        <v>137</v>
      </c>
      <c r="P84" s="15"/>
      <c r="Q84" s="15"/>
      <c r="R84" s="23" t="s">
        <v>151</v>
      </c>
      <c r="S84" s="23"/>
      <c r="T84" s="17">
        <f>268439.94</f>
        <v>268439.94</v>
      </c>
      <c r="U84" s="17"/>
      <c r="V84" s="17"/>
      <c r="W84" s="17">
        <f>33439.2</f>
        <v>33439.2</v>
      </c>
      <c r="X84" s="17"/>
      <c r="Y84" s="17"/>
      <c r="Z84" s="17"/>
      <c r="AA84" s="17"/>
      <c r="AB84" s="52">
        <f>235000.74</f>
        <v>235000.74</v>
      </c>
      <c r="AC84" s="52"/>
    </row>
    <row r="85" spans="1:29" s="1" customFormat="1" ht="24" customHeight="1">
      <c r="A85" s="14" t="s">
        <v>152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105</v>
      </c>
      <c r="M85" s="15"/>
      <c r="N85" s="15"/>
      <c r="O85" s="15" t="s">
        <v>137</v>
      </c>
      <c r="P85" s="15"/>
      <c r="Q85" s="15"/>
      <c r="R85" s="23" t="s">
        <v>153</v>
      </c>
      <c r="S85" s="23"/>
      <c r="T85" s="17">
        <f>6600</f>
        <v>6600</v>
      </c>
      <c r="U85" s="17"/>
      <c r="V85" s="17"/>
      <c r="W85" s="17">
        <f>6600</f>
        <v>6600</v>
      </c>
      <c r="X85" s="17"/>
      <c r="Y85" s="17"/>
      <c r="Z85" s="17"/>
      <c r="AA85" s="17"/>
      <c r="AB85" s="52">
        <f>0</f>
        <v>0</v>
      </c>
      <c r="AC85" s="52"/>
    </row>
    <row r="86" spans="1:29" s="1" customFormat="1" ht="13.5" customHeight="1">
      <c r="A86" s="14" t="s">
        <v>154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105</v>
      </c>
      <c r="M86" s="15"/>
      <c r="N86" s="15"/>
      <c r="O86" s="15" t="s">
        <v>155</v>
      </c>
      <c r="P86" s="15"/>
      <c r="Q86" s="15"/>
      <c r="R86" s="23" t="s">
        <v>156</v>
      </c>
      <c r="S86" s="23"/>
      <c r="T86" s="17">
        <f>60700</f>
        <v>60700</v>
      </c>
      <c r="U86" s="17"/>
      <c r="V86" s="17"/>
      <c r="W86" s="17">
        <f>6560</f>
        <v>6560</v>
      </c>
      <c r="X86" s="17"/>
      <c r="Y86" s="17"/>
      <c r="Z86" s="17"/>
      <c r="AA86" s="17"/>
      <c r="AB86" s="52">
        <f>54140</f>
        <v>54140</v>
      </c>
      <c r="AC86" s="52"/>
    </row>
    <row r="87" spans="1:29" s="1" customFormat="1" ht="13.5" customHeight="1">
      <c r="A87" s="14" t="s">
        <v>144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105</v>
      </c>
      <c r="M87" s="15"/>
      <c r="N87" s="15"/>
      <c r="O87" s="15" t="s">
        <v>157</v>
      </c>
      <c r="P87" s="15"/>
      <c r="Q87" s="15"/>
      <c r="R87" s="23" t="s">
        <v>145</v>
      </c>
      <c r="S87" s="23"/>
      <c r="T87" s="17">
        <f>35000</f>
        <v>35000</v>
      </c>
      <c r="U87" s="17"/>
      <c r="V87" s="17"/>
      <c r="W87" s="17">
        <f>26570</f>
        <v>26570</v>
      </c>
      <c r="X87" s="17"/>
      <c r="Y87" s="17"/>
      <c r="Z87" s="17"/>
      <c r="AA87" s="17"/>
      <c r="AB87" s="52">
        <f>8430</f>
        <v>8430</v>
      </c>
      <c r="AC87" s="52"/>
    </row>
    <row r="88" spans="1:29" s="1" customFormat="1" ht="13.5" customHeight="1">
      <c r="A88" s="14" t="s">
        <v>150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105</v>
      </c>
      <c r="M88" s="15"/>
      <c r="N88" s="15"/>
      <c r="O88" s="15" t="s">
        <v>157</v>
      </c>
      <c r="P88" s="15"/>
      <c r="Q88" s="15"/>
      <c r="R88" s="23" t="s">
        <v>151</v>
      </c>
      <c r="S88" s="23"/>
      <c r="T88" s="17">
        <f>15000</f>
        <v>15000</v>
      </c>
      <c r="U88" s="17"/>
      <c r="V88" s="17"/>
      <c r="W88" s="17">
        <f>11480</f>
        <v>11480</v>
      </c>
      <c r="X88" s="17"/>
      <c r="Y88" s="17"/>
      <c r="Z88" s="17"/>
      <c r="AA88" s="17"/>
      <c r="AB88" s="52">
        <f>3520</f>
        <v>3520</v>
      </c>
      <c r="AC88" s="52"/>
    </row>
    <row r="89" spans="1:29" s="1" customFormat="1" ht="13.5" customHeight="1">
      <c r="A89" s="14" t="s">
        <v>106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105</v>
      </c>
      <c r="M89" s="15"/>
      <c r="N89" s="15"/>
      <c r="O89" s="15" t="s">
        <v>158</v>
      </c>
      <c r="P89" s="15"/>
      <c r="Q89" s="15"/>
      <c r="R89" s="23" t="s">
        <v>108</v>
      </c>
      <c r="S89" s="23"/>
      <c r="T89" s="17">
        <f>1377546.35</f>
        <v>1377546.35</v>
      </c>
      <c r="U89" s="17"/>
      <c r="V89" s="17"/>
      <c r="W89" s="17">
        <f>1377546.35</f>
        <v>1377546.35</v>
      </c>
      <c r="X89" s="17"/>
      <c r="Y89" s="17"/>
      <c r="Z89" s="17"/>
      <c r="AA89" s="17"/>
      <c r="AB89" s="52">
        <f>0</f>
        <v>0</v>
      </c>
      <c r="AC89" s="52"/>
    </row>
    <row r="90" spans="1:29" s="1" customFormat="1" ht="13.5" customHeight="1">
      <c r="A90" s="14" t="s">
        <v>114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105</v>
      </c>
      <c r="M90" s="15"/>
      <c r="N90" s="15"/>
      <c r="O90" s="15" t="s">
        <v>159</v>
      </c>
      <c r="P90" s="15"/>
      <c r="Q90" s="15"/>
      <c r="R90" s="23" t="s">
        <v>116</v>
      </c>
      <c r="S90" s="23"/>
      <c r="T90" s="17">
        <f>400909.2</f>
        <v>400909.2</v>
      </c>
      <c r="U90" s="17"/>
      <c r="V90" s="17"/>
      <c r="W90" s="17">
        <v>400909.2</v>
      </c>
      <c r="X90" s="17"/>
      <c r="Y90" s="17"/>
      <c r="Z90" s="17"/>
      <c r="AA90" s="17"/>
      <c r="AB90" s="53" t="s">
        <v>44</v>
      </c>
      <c r="AC90" s="53"/>
    </row>
    <row r="91" spans="1:29" s="1" customFormat="1" ht="13.5" customHeight="1">
      <c r="A91" s="14" t="s">
        <v>130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105</v>
      </c>
      <c r="M91" s="15"/>
      <c r="N91" s="15"/>
      <c r="O91" s="15" t="s">
        <v>160</v>
      </c>
      <c r="P91" s="15"/>
      <c r="Q91" s="15"/>
      <c r="R91" s="23" t="s">
        <v>132</v>
      </c>
      <c r="S91" s="23"/>
      <c r="T91" s="17">
        <f>1200</f>
        <v>1200</v>
      </c>
      <c r="U91" s="17"/>
      <c r="V91" s="17"/>
      <c r="W91" s="17">
        <f>1200</f>
        <v>1200</v>
      </c>
      <c r="X91" s="17"/>
      <c r="Y91" s="17"/>
      <c r="Z91" s="17"/>
      <c r="AA91" s="17"/>
      <c r="AB91" s="52">
        <f aca="true" t="shared" si="0" ref="AB91:AB99">0</f>
        <v>0</v>
      </c>
      <c r="AC91" s="52"/>
    </row>
    <row r="92" spans="1:29" s="1" customFormat="1" ht="13.5" customHeight="1">
      <c r="A92" s="14" t="s">
        <v>135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105</v>
      </c>
      <c r="M92" s="15"/>
      <c r="N92" s="15"/>
      <c r="O92" s="15" t="s">
        <v>160</v>
      </c>
      <c r="P92" s="15"/>
      <c r="Q92" s="15"/>
      <c r="R92" s="23" t="s">
        <v>136</v>
      </c>
      <c r="S92" s="23"/>
      <c r="T92" s="17">
        <f>43018.4</f>
        <v>43018.4</v>
      </c>
      <c r="U92" s="17"/>
      <c r="V92" s="17"/>
      <c r="W92" s="17">
        <f>43018.4</f>
        <v>43018.4</v>
      </c>
      <c r="X92" s="17"/>
      <c r="Y92" s="17"/>
      <c r="Z92" s="17"/>
      <c r="AA92" s="17"/>
      <c r="AB92" s="52">
        <f t="shared" si="0"/>
        <v>0</v>
      </c>
      <c r="AC92" s="52"/>
    </row>
    <row r="93" spans="1:29" s="1" customFormat="1" ht="13.5" customHeight="1">
      <c r="A93" s="14" t="s">
        <v>140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105</v>
      </c>
      <c r="M93" s="15"/>
      <c r="N93" s="15"/>
      <c r="O93" s="15" t="s">
        <v>161</v>
      </c>
      <c r="P93" s="15"/>
      <c r="Q93" s="15"/>
      <c r="R93" s="23" t="s">
        <v>141</v>
      </c>
      <c r="S93" s="23"/>
      <c r="T93" s="17">
        <f>86973.62</f>
        <v>86973.62</v>
      </c>
      <c r="U93" s="17"/>
      <c r="V93" s="17"/>
      <c r="W93" s="17">
        <f>86973.62</f>
        <v>86973.62</v>
      </c>
      <c r="X93" s="17"/>
      <c r="Y93" s="17"/>
      <c r="Z93" s="17"/>
      <c r="AA93" s="17"/>
      <c r="AB93" s="52">
        <f t="shared" si="0"/>
        <v>0</v>
      </c>
      <c r="AC93" s="52"/>
    </row>
    <row r="94" spans="1:29" s="1" customFormat="1" ht="13.5" customHeight="1">
      <c r="A94" s="14" t="s">
        <v>133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105</v>
      </c>
      <c r="M94" s="15"/>
      <c r="N94" s="15"/>
      <c r="O94" s="15" t="s">
        <v>161</v>
      </c>
      <c r="P94" s="15"/>
      <c r="Q94" s="15"/>
      <c r="R94" s="23" t="s">
        <v>134</v>
      </c>
      <c r="S94" s="23"/>
      <c r="T94" s="17">
        <f>16863.89</f>
        <v>16863.89</v>
      </c>
      <c r="U94" s="17"/>
      <c r="V94" s="17"/>
      <c r="W94" s="17">
        <f>16863.89</f>
        <v>16863.89</v>
      </c>
      <c r="X94" s="17"/>
      <c r="Y94" s="17"/>
      <c r="Z94" s="17"/>
      <c r="AA94" s="17"/>
      <c r="AB94" s="52">
        <f t="shared" si="0"/>
        <v>0</v>
      </c>
      <c r="AC94" s="52"/>
    </row>
    <row r="95" spans="1:29" s="1" customFormat="1" ht="13.5" customHeight="1">
      <c r="A95" s="14" t="s">
        <v>135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105</v>
      </c>
      <c r="M95" s="15"/>
      <c r="N95" s="15"/>
      <c r="O95" s="15" t="s">
        <v>161</v>
      </c>
      <c r="P95" s="15"/>
      <c r="Q95" s="15"/>
      <c r="R95" s="23" t="s">
        <v>136</v>
      </c>
      <c r="S95" s="23"/>
      <c r="T95" s="17">
        <f>3500</f>
        <v>3500</v>
      </c>
      <c r="U95" s="17"/>
      <c r="V95" s="17"/>
      <c r="W95" s="17">
        <f>3500</f>
        <v>3500</v>
      </c>
      <c r="X95" s="17"/>
      <c r="Y95" s="17"/>
      <c r="Z95" s="17"/>
      <c r="AA95" s="17"/>
      <c r="AB95" s="52">
        <f t="shared" si="0"/>
        <v>0</v>
      </c>
      <c r="AC95" s="52"/>
    </row>
    <row r="96" spans="1:29" s="1" customFormat="1" ht="13.5" customHeight="1">
      <c r="A96" s="14" t="s">
        <v>144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105</v>
      </c>
      <c r="M96" s="15"/>
      <c r="N96" s="15"/>
      <c r="O96" s="15" t="s">
        <v>161</v>
      </c>
      <c r="P96" s="15"/>
      <c r="Q96" s="15"/>
      <c r="R96" s="23" t="s">
        <v>145</v>
      </c>
      <c r="S96" s="23"/>
      <c r="T96" s="17">
        <f>30199</f>
        <v>30199</v>
      </c>
      <c r="U96" s="17"/>
      <c r="V96" s="17"/>
      <c r="W96" s="17">
        <f>30199</f>
        <v>30199</v>
      </c>
      <c r="X96" s="17"/>
      <c r="Y96" s="17"/>
      <c r="Z96" s="17"/>
      <c r="AA96" s="17"/>
      <c r="AB96" s="52">
        <f t="shared" si="0"/>
        <v>0</v>
      </c>
      <c r="AC96" s="52"/>
    </row>
    <row r="97" spans="1:29" s="1" customFormat="1" ht="13.5" customHeight="1">
      <c r="A97" s="14" t="s">
        <v>150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105</v>
      </c>
      <c r="M97" s="15"/>
      <c r="N97" s="15"/>
      <c r="O97" s="15" t="s">
        <v>161</v>
      </c>
      <c r="P97" s="15"/>
      <c r="Q97" s="15"/>
      <c r="R97" s="23" t="s">
        <v>151</v>
      </c>
      <c r="S97" s="23"/>
      <c r="T97" s="17">
        <f>41460.06</f>
        <v>41460.06</v>
      </c>
      <c r="U97" s="17"/>
      <c r="V97" s="17"/>
      <c r="W97" s="17">
        <f>41460.06</f>
        <v>41460.06</v>
      </c>
      <c r="X97" s="17"/>
      <c r="Y97" s="17"/>
      <c r="Z97" s="17"/>
      <c r="AA97" s="17"/>
      <c r="AB97" s="52">
        <f t="shared" si="0"/>
        <v>0</v>
      </c>
      <c r="AC97" s="52"/>
    </row>
    <row r="98" spans="1:29" s="1" customFormat="1" ht="13.5" customHeight="1">
      <c r="A98" s="14" t="s">
        <v>154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105</v>
      </c>
      <c r="M98" s="15"/>
      <c r="N98" s="15"/>
      <c r="O98" s="15" t="s">
        <v>162</v>
      </c>
      <c r="P98" s="15"/>
      <c r="Q98" s="15"/>
      <c r="R98" s="23" t="s">
        <v>156</v>
      </c>
      <c r="S98" s="23"/>
      <c r="T98" s="17">
        <f>1300</f>
        <v>1300</v>
      </c>
      <c r="U98" s="17"/>
      <c r="V98" s="17"/>
      <c r="W98" s="17">
        <f>1300</f>
        <v>1300</v>
      </c>
      <c r="X98" s="17"/>
      <c r="Y98" s="17"/>
      <c r="Z98" s="17"/>
      <c r="AA98" s="17"/>
      <c r="AB98" s="52">
        <f t="shared" si="0"/>
        <v>0</v>
      </c>
      <c r="AC98" s="52"/>
    </row>
    <row r="99" spans="1:29" s="1" customFormat="1" ht="13.5" customHeight="1">
      <c r="A99" s="14" t="s">
        <v>163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105</v>
      </c>
      <c r="M99" s="15"/>
      <c r="N99" s="15"/>
      <c r="O99" s="15" t="s">
        <v>164</v>
      </c>
      <c r="P99" s="15"/>
      <c r="Q99" s="15"/>
      <c r="R99" s="23" t="s">
        <v>165</v>
      </c>
      <c r="S99" s="23"/>
      <c r="T99" s="17">
        <f>15000</f>
        <v>15000</v>
      </c>
      <c r="U99" s="17"/>
      <c r="V99" s="17"/>
      <c r="W99" s="17">
        <f>15000</f>
        <v>15000</v>
      </c>
      <c r="X99" s="17"/>
      <c r="Y99" s="17"/>
      <c r="Z99" s="17"/>
      <c r="AA99" s="17"/>
      <c r="AB99" s="52">
        <f t="shared" si="0"/>
        <v>0</v>
      </c>
      <c r="AC99" s="52"/>
    </row>
    <row r="100" spans="1:29" s="1" customFormat="1" ht="13.5" customHeight="1">
      <c r="A100" s="14" t="s">
        <v>106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105</v>
      </c>
      <c r="M100" s="15"/>
      <c r="N100" s="15"/>
      <c r="O100" s="15" t="s">
        <v>166</v>
      </c>
      <c r="P100" s="15"/>
      <c r="Q100" s="15"/>
      <c r="R100" s="23" t="s">
        <v>108</v>
      </c>
      <c r="S100" s="23"/>
      <c r="T100" s="17">
        <f>84101.38</f>
        <v>84101.38</v>
      </c>
      <c r="U100" s="17"/>
      <c r="V100" s="17"/>
      <c r="W100" s="17">
        <f>34672.48</f>
        <v>34672.48</v>
      </c>
      <c r="X100" s="17"/>
      <c r="Y100" s="17"/>
      <c r="Z100" s="17"/>
      <c r="AA100" s="17"/>
      <c r="AB100" s="52">
        <f>49428.9</f>
        <v>49428.9</v>
      </c>
      <c r="AC100" s="52"/>
    </row>
    <row r="101" spans="1:29" s="1" customFormat="1" ht="13.5" customHeight="1">
      <c r="A101" s="14" t="s">
        <v>114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105</v>
      </c>
      <c r="M101" s="15"/>
      <c r="N101" s="15"/>
      <c r="O101" s="15" t="s">
        <v>167</v>
      </c>
      <c r="P101" s="15"/>
      <c r="Q101" s="15"/>
      <c r="R101" s="23" t="s">
        <v>116</v>
      </c>
      <c r="S101" s="23"/>
      <c r="T101" s="17">
        <f>25398.62</f>
        <v>25398.62</v>
      </c>
      <c r="U101" s="17"/>
      <c r="V101" s="17"/>
      <c r="W101" s="17">
        <f>8404.67</f>
        <v>8404.67</v>
      </c>
      <c r="X101" s="17"/>
      <c r="Y101" s="17"/>
      <c r="Z101" s="17"/>
      <c r="AA101" s="17"/>
      <c r="AB101" s="52">
        <f>16993.95</f>
        <v>16993.95</v>
      </c>
      <c r="AC101" s="52"/>
    </row>
    <row r="102" spans="1:29" s="1" customFormat="1" ht="13.5" customHeight="1">
      <c r="A102" s="14" t="s">
        <v>106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105</v>
      </c>
      <c r="M102" s="15"/>
      <c r="N102" s="15"/>
      <c r="O102" s="15" t="s">
        <v>168</v>
      </c>
      <c r="P102" s="15"/>
      <c r="Q102" s="15"/>
      <c r="R102" s="23" t="s">
        <v>108</v>
      </c>
      <c r="S102" s="23"/>
      <c r="T102" s="17">
        <f>3072.2</f>
        <v>3072.2</v>
      </c>
      <c r="U102" s="17"/>
      <c r="V102" s="17"/>
      <c r="W102" s="21" t="s">
        <v>44</v>
      </c>
      <c r="X102" s="21"/>
      <c r="Y102" s="21"/>
      <c r="Z102" s="21"/>
      <c r="AA102" s="21"/>
      <c r="AB102" s="52">
        <f>3072.2</f>
        <v>3072.2</v>
      </c>
      <c r="AC102" s="52"/>
    </row>
    <row r="103" spans="1:29" s="1" customFormat="1" ht="13.5" customHeight="1">
      <c r="A103" s="14" t="s">
        <v>114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105</v>
      </c>
      <c r="M103" s="15"/>
      <c r="N103" s="15"/>
      <c r="O103" s="15" t="s">
        <v>169</v>
      </c>
      <c r="P103" s="15"/>
      <c r="Q103" s="15"/>
      <c r="R103" s="23" t="s">
        <v>116</v>
      </c>
      <c r="S103" s="23"/>
      <c r="T103" s="17">
        <f>927.8</f>
        <v>927.8</v>
      </c>
      <c r="U103" s="17"/>
      <c r="V103" s="17"/>
      <c r="W103" s="21" t="s">
        <v>44</v>
      </c>
      <c r="X103" s="21"/>
      <c r="Y103" s="21"/>
      <c r="Z103" s="21"/>
      <c r="AA103" s="21"/>
      <c r="AB103" s="52">
        <f>927.8</f>
        <v>927.8</v>
      </c>
      <c r="AC103" s="52"/>
    </row>
    <row r="104" spans="1:29" s="1" customFormat="1" ht="13.5" customHeight="1">
      <c r="A104" s="14" t="s">
        <v>106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105</v>
      </c>
      <c r="M104" s="15"/>
      <c r="N104" s="15"/>
      <c r="O104" s="15" t="s">
        <v>170</v>
      </c>
      <c r="P104" s="15"/>
      <c r="Q104" s="15"/>
      <c r="R104" s="23" t="s">
        <v>108</v>
      </c>
      <c r="S104" s="23"/>
      <c r="T104" s="17">
        <f>768.05</f>
        <v>768.05</v>
      </c>
      <c r="U104" s="17"/>
      <c r="V104" s="17"/>
      <c r="W104" s="17">
        <f>768.05</f>
        <v>768.05</v>
      </c>
      <c r="X104" s="17"/>
      <c r="Y104" s="17"/>
      <c r="Z104" s="17"/>
      <c r="AA104" s="17"/>
      <c r="AB104" s="52">
        <f>0</f>
        <v>0</v>
      </c>
      <c r="AC104" s="52"/>
    </row>
    <row r="105" spans="1:29" s="1" customFormat="1" ht="13.5" customHeight="1">
      <c r="A105" s="14" t="s">
        <v>114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105</v>
      </c>
      <c r="M105" s="15"/>
      <c r="N105" s="15"/>
      <c r="O105" s="15" t="s">
        <v>171</v>
      </c>
      <c r="P105" s="15"/>
      <c r="Q105" s="15"/>
      <c r="R105" s="23" t="s">
        <v>116</v>
      </c>
      <c r="S105" s="23"/>
      <c r="T105" s="17">
        <f>231.95</f>
        <v>231.95</v>
      </c>
      <c r="U105" s="17"/>
      <c r="V105" s="17"/>
      <c r="W105" s="17">
        <f>231.95</f>
        <v>231.95</v>
      </c>
      <c r="X105" s="17"/>
      <c r="Y105" s="17"/>
      <c r="Z105" s="17"/>
      <c r="AA105" s="17"/>
      <c r="AB105" s="52">
        <f>0</f>
        <v>0</v>
      </c>
      <c r="AC105" s="52"/>
    </row>
    <row r="106" spans="1:29" s="1" customFormat="1" ht="13.5" customHeight="1">
      <c r="A106" s="14" t="s">
        <v>133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105</v>
      </c>
      <c r="M106" s="15"/>
      <c r="N106" s="15"/>
      <c r="O106" s="15" t="s">
        <v>172</v>
      </c>
      <c r="P106" s="15"/>
      <c r="Q106" s="15"/>
      <c r="R106" s="23" t="s">
        <v>134</v>
      </c>
      <c r="S106" s="23"/>
      <c r="T106" s="17">
        <f>150000</f>
        <v>150000</v>
      </c>
      <c r="U106" s="17"/>
      <c r="V106" s="17"/>
      <c r="W106" s="17">
        <f>78156.7</f>
        <v>78156.7</v>
      </c>
      <c r="X106" s="17"/>
      <c r="Y106" s="17"/>
      <c r="Z106" s="17"/>
      <c r="AA106" s="17"/>
      <c r="AB106" s="52">
        <f>71843.3</f>
        <v>71843.3</v>
      </c>
      <c r="AC106" s="52"/>
    </row>
    <row r="107" spans="1:29" s="1" customFormat="1" ht="24" customHeight="1">
      <c r="A107" s="14" t="s">
        <v>152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105</v>
      </c>
      <c r="M107" s="15"/>
      <c r="N107" s="15"/>
      <c r="O107" s="15" t="s">
        <v>173</v>
      </c>
      <c r="P107" s="15"/>
      <c r="Q107" s="15"/>
      <c r="R107" s="23" t="s">
        <v>153</v>
      </c>
      <c r="S107" s="23"/>
      <c r="T107" s="17">
        <f>5500</f>
        <v>5500</v>
      </c>
      <c r="U107" s="17"/>
      <c r="V107" s="17"/>
      <c r="W107" s="21" t="s">
        <v>44</v>
      </c>
      <c r="X107" s="21"/>
      <c r="Y107" s="21"/>
      <c r="Z107" s="21"/>
      <c r="AA107" s="21"/>
      <c r="AB107" s="52">
        <f>5500</f>
        <v>5500</v>
      </c>
      <c r="AC107" s="52"/>
    </row>
    <row r="108" spans="1:29" s="1" customFormat="1" ht="13.5" customHeight="1">
      <c r="A108" s="14" t="s">
        <v>135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105</v>
      </c>
      <c r="M108" s="15"/>
      <c r="N108" s="15"/>
      <c r="O108" s="15" t="s">
        <v>174</v>
      </c>
      <c r="P108" s="15"/>
      <c r="Q108" s="15"/>
      <c r="R108" s="23" t="s">
        <v>136</v>
      </c>
      <c r="S108" s="23"/>
      <c r="T108" s="17">
        <f>4826.09</f>
        <v>4826.09</v>
      </c>
      <c r="U108" s="17"/>
      <c r="V108" s="17"/>
      <c r="W108" s="21" t="s">
        <v>44</v>
      </c>
      <c r="X108" s="21"/>
      <c r="Y108" s="21"/>
      <c r="Z108" s="21"/>
      <c r="AA108" s="21"/>
      <c r="AB108" s="52">
        <f>4826.09</f>
        <v>4826.09</v>
      </c>
      <c r="AC108" s="52"/>
    </row>
    <row r="109" spans="1:29" s="1" customFormat="1" ht="13.5" customHeight="1">
      <c r="A109" s="14" t="s">
        <v>135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105</v>
      </c>
      <c r="M109" s="15"/>
      <c r="N109" s="15"/>
      <c r="O109" s="15" t="s">
        <v>175</v>
      </c>
      <c r="P109" s="15"/>
      <c r="Q109" s="15"/>
      <c r="R109" s="23" t="s">
        <v>136</v>
      </c>
      <c r="S109" s="23"/>
      <c r="T109" s="17">
        <f>4826.09</f>
        <v>4826.09</v>
      </c>
      <c r="U109" s="17"/>
      <c r="V109" s="17"/>
      <c r="W109" s="21" t="s">
        <v>44</v>
      </c>
      <c r="X109" s="21"/>
      <c r="Y109" s="21"/>
      <c r="Z109" s="21"/>
      <c r="AA109" s="21"/>
      <c r="AB109" s="52">
        <f>4826.09</f>
        <v>4826.09</v>
      </c>
      <c r="AC109" s="52"/>
    </row>
    <row r="110" spans="1:29" s="1" customFormat="1" ht="24" customHeight="1">
      <c r="A110" s="14" t="s">
        <v>152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105</v>
      </c>
      <c r="M110" s="15"/>
      <c r="N110" s="15"/>
      <c r="O110" s="15" t="s">
        <v>176</v>
      </c>
      <c r="P110" s="15"/>
      <c r="Q110" s="15"/>
      <c r="R110" s="23" t="s">
        <v>153</v>
      </c>
      <c r="S110" s="23"/>
      <c r="T110" s="17">
        <f>10000</f>
        <v>10000</v>
      </c>
      <c r="U110" s="17"/>
      <c r="V110" s="17"/>
      <c r="W110" s="21" t="s">
        <v>44</v>
      </c>
      <c r="X110" s="21"/>
      <c r="Y110" s="21"/>
      <c r="Z110" s="21"/>
      <c r="AA110" s="21"/>
      <c r="AB110" s="52">
        <f>10000</f>
        <v>10000</v>
      </c>
      <c r="AC110" s="52"/>
    </row>
    <row r="111" spans="1:29" s="1" customFormat="1" ht="13.5" customHeight="1">
      <c r="A111" s="14" t="s">
        <v>135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105</v>
      </c>
      <c r="M111" s="15"/>
      <c r="N111" s="15"/>
      <c r="O111" s="15" t="s">
        <v>177</v>
      </c>
      <c r="P111" s="15"/>
      <c r="Q111" s="15"/>
      <c r="R111" s="23" t="s">
        <v>136</v>
      </c>
      <c r="S111" s="23"/>
      <c r="T111" s="17">
        <f>12673</f>
        <v>12673</v>
      </c>
      <c r="U111" s="17"/>
      <c r="V111" s="17"/>
      <c r="W111" s="17">
        <f>12000</f>
        <v>12000</v>
      </c>
      <c r="X111" s="17"/>
      <c r="Y111" s="17"/>
      <c r="Z111" s="17"/>
      <c r="AA111" s="17"/>
      <c r="AB111" s="52">
        <f>673</f>
        <v>673</v>
      </c>
      <c r="AC111" s="52"/>
    </row>
    <row r="112" spans="1:29" s="1" customFormat="1" ht="13.5" customHeight="1">
      <c r="A112" s="14" t="s">
        <v>133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105</v>
      </c>
      <c r="M112" s="15"/>
      <c r="N112" s="15"/>
      <c r="O112" s="15" t="s">
        <v>178</v>
      </c>
      <c r="P112" s="15"/>
      <c r="Q112" s="15"/>
      <c r="R112" s="23" t="s">
        <v>134</v>
      </c>
      <c r="S112" s="23"/>
      <c r="T112" s="17">
        <f>2829117.67</f>
        <v>2829117.67</v>
      </c>
      <c r="U112" s="17"/>
      <c r="V112" s="17"/>
      <c r="W112" s="21" t="s">
        <v>44</v>
      </c>
      <c r="X112" s="21"/>
      <c r="Y112" s="21"/>
      <c r="Z112" s="21"/>
      <c r="AA112" s="21"/>
      <c r="AB112" s="52">
        <f>2829117.67</f>
        <v>2829117.67</v>
      </c>
      <c r="AC112" s="52"/>
    </row>
    <row r="113" spans="1:29" s="1" customFormat="1" ht="13.5" customHeight="1">
      <c r="A113" s="14" t="s">
        <v>133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105</v>
      </c>
      <c r="M113" s="15"/>
      <c r="N113" s="15"/>
      <c r="O113" s="15" t="s">
        <v>179</v>
      </c>
      <c r="P113" s="15"/>
      <c r="Q113" s="15"/>
      <c r="R113" s="23" t="s">
        <v>134</v>
      </c>
      <c r="S113" s="23"/>
      <c r="T113" s="17">
        <f>305000</f>
        <v>305000</v>
      </c>
      <c r="U113" s="17"/>
      <c r="V113" s="17"/>
      <c r="W113" s="17">
        <f>153918.1</f>
        <v>153918.1</v>
      </c>
      <c r="X113" s="17"/>
      <c r="Y113" s="17"/>
      <c r="Z113" s="17"/>
      <c r="AA113" s="17"/>
      <c r="AB113" s="52">
        <f>151081.9</f>
        <v>151081.9</v>
      </c>
      <c r="AC113" s="52"/>
    </row>
    <row r="114" spans="1:29" s="1" customFormat="1" ht="13.5" customHeight="1">
      <c r="A114" s="14" t="s">
        <v>135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105</v>
      </c>
      <c r="M114" s="15"/>
      <c r="N114" s="15"/>
      <c r="O114" s="15" t="s">
        <v>180</v>
      </c>
      <c r="P114" s="15"/>
      <c r="Q114" s="15"/>
      <c r="R114" s="23" t="s">
        <v>136</v>
      </c>
      <c r="S114" s="23"/>
      <c r="T114" s="17">
        <f>137720</f>
        <v>137720</v>
      </c>
      <c r="U114" s="17"/>
      <c r="V114" s="17"/>
      <c r="W114" s="17">
        <f>137720</f>
        <v>137720</v>
      </c>
      <c r="X114" s="17"/>
      <c r="Y114" s="17"/>
      <c r="Z114" s="17"/>
      <c r="AA114" s="17"/>
      <c r="AB114" s="52">
        <f>0</f>
        <v>0</v>
      </c>
      <c r="AC114" s="52"/>
    </row>
    <row r="115" spans="1:29" s="1" customFormat="1" ht="13.5" customHeight="1">
      <c r="A115" s="14" t="s">
        <v>135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105</v>
      </c>
      <c r="M115" s="15"/>
      <c r="N115" s="15"/>
      <c r="O115" s="15" t="s">
        <v>181</v>
      </c>
      <c r="P115" s="15"/>
      <c r="Q115" s="15"/>
      <c r="R115" s="23" t="s">
        <v>136</v>
      </c>
      <c r="S115" s="23"/>
      <c r="T115" s="17">
        <f>342680</f>
        <v>342680</v>
      </c>
      <c r="U115" s="17"/>
      <c r="V115" s="17"/>
      <c r="W115" s="17">
        <f>98680</f>
        <v>98680</v>
      </c>
      <c r="X115" s="17"/>
      <c r="Y115" s="17"/>
      <c r="Z115" s="17"/>
      <c r="AA115" s="17"/>
      <c r="AB115" s="52">
        <f>244000</f>
        <v>244000</v>
      </c>
      <c r="AC115" s="52"/>
    </row>
    <row r="116" spans="1:29" s="1" customFormat="1" ht="13.5" customHeight="1">
      <c r="A116" s="14" t="s">
        <v>135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 t="s">
        <v>105</v>
      </c>
      <c r="M116" s="15"/>
      <c r="N116" s="15"/>
      <c r="O116" s="15" t="s">
        <v>182</v>
      </c>
      <c r="P116" s="15"/>
      <c r="Q116" s="15"/>
      <c r="R116" s="23" t="s">
        <v>136</v>
      </c>
      <c r="S116" s="23"/>
      <c r="T116" s="17">
        <f>15600</f>
        <v>15600</v>
      </c>
      <c r="U116" s="17"/>
      <c r="V116" s="17"/>
      <c r="W116" s="17">
        <f>6500</f>
        <v>6500</v>
      </c>
      <c r="X116" s="17"/>
      <c r="Y116" s="17"/>
      <c r="Z116" s="17"/>
      <c r="AA116" s="17"/>
      <c r="AB116" s="52">
        <f>9100</f>
        <v>9100</v>
      </c>
      <c r="AC116" s="52"/>
    </row>
    <row r="117" spans="1:29" s="1" customFormat="1" ht="13.5" customHeight="1">
      <c r="A117" s="14" t="s">
        <v>140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 t="s">
        <v>105</v>
      </c>
      <c r="M117" s="15"/>
      <c r="N117" s="15"/>
      <c r="O117" s="15" t="s">
        <v>183</v>
      </c>
      <c r="P117" s="15"/>
      <c r="Q117" s="15"/>
      <c r="R117" s="23" t="s">
        <v>141</v>
      </c>
      <c r="S117" s="23"/>
      <c r="T117" s="17">
        <f>81000</f>
        <v>81000</v>
      </c>
      <c r="U117" s="17"/>
      <c r="V117" s="17"/>
      <c r="W117" s="17">
        <f>16298.61</f>
        <v>16298.61</v>
      </c>
      <c r="X117" s="17"/>
      <c r="Y117" s="17"/>
      <c r="Z117" s="17"/>
      <c r="AA117" s="17"/>
      <c r="AB117" s="52">
        <f>64701.39</f>
        <v>64701.39</v>
      </c>
      <c r="AC117" s="52"/>
    </row>
    <row r="118" spans="1:29" s="1" customFormat="1" ht="13.5" customHeight="1">
      <c r="A118" s="14" t="s">
        <v>133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105</v>
      </c>
      <c r="M118" s="15"/>
      <c r="N118" s="15"/>
      <c r="O118" s="15" t="s">
        <v>183</v>
      </c>
      <c r="P118" s="15"/>
      <c r="Q118" s="15"/>
      <c r="R118" s="23" t="s">
        <v>134</v>
      </c>
      <c r="S118" s="23"/>
      <c r="T118" s="17">
        <f>117343.52</f>
        <v>117343.52</v>
      </c>
      <c r="U118" s="17"/>
      <c r="V118" s="17"/>
      <c r="W118" s="17">
        <f>31969.44</f>
        <v>31969.44</v>
      </c>
      <c r="X118" s="17"/>
      <c r="Y118" s="17"/>
      <c r="Z118" s="17"/>
      <c r="AA118" s="17"/>
      <c r="AB118" s="52">
        <f>85374.08</f>
        <v>85374.08</v>
      </c>
      <c r="AC118" s="52"/>
    </row>
    <row r="119" spans="1:29" s="1" customFormat="1" ht="13.5" customHeight="1">
      <c r="A119" s="14" t="s">
        <v>135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 t="s">
        <v>105</v>
      </c>
      <c r="M119" s="15"/>
      <c r="N119" s="15"/>
      <c r="O119" s="15" t="s">
        <v>183</v>
      </c>
      <c r="P119" s="15"/>
      <c r="Q119" s="15"/>
      <c r="R119" s="23" t="s">
        <v>136</v>
      </c>
      <c r="S119" s="23"/>
      <c r="T119" s="17">
        <f>36241.67</f>
        <v>36241.67</v>
      </c>
      <c r="U119" s="17"/>
      <c r="V119" s="17"/>
      <c r="W119" s="17">
        <f>12642.36</f>
        <v>12642.36</v>
      </c>
      <c r="X119" s="17"/>
      <c r="Y119" s="17"/>
      <c r="Z119" s="17"/>
      <c r="AA119" s="17"/>
      <c r="AB119" s="52">
        <f>23599.31</f>
        <v>23599.31</v>
      </c>
      <c r="AC119" s="52"/>
    </row>
    <row r="120" spans="1:29" s="1" customFormat="1" ht="13.5" customHeight="1">
      <c r="A120" s="14" t="s">
        <v>135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 t="s">
        <v>105</v>
      </c>
      <c r="M120" s="15"/>
      <c r="N120" s="15"/>
      <c r="O120" s="15" t="s">
        <v>184</v>
      </c>
      <c r="P120" s="15"/>
      <c r="Q120" s="15"/>
      <c r="R120" s="23" t="s">
        <v>136</v>
      </c>
      <c r="S120" s="23"/>
      <c r="T120" s="17">
        <f>10000</f>
        <v>10000</v>
      </c>
      <c r="U120" s="17"/>
      <c r="V120" s="17"/>
      <c r="W120" s="17">
        <f>10000</f>
        <v>10000</v>
      </c>
      <c r="X120" s="17"/>
      <c r="Y120" s="17"/>
      <c r="Z120" s="17"/>
      <c r="AA120" s="17"/>
      <c r="AB120" s="52">
        <f>0</f>
        <v>0</v>
      </c>
      <c r="AC120" s="52"/>
    </row>
    <row r="121" spans="1:29" s="1" customFormat="1" ht="13.5" customHeight="1">
      <c r="A121" s="14" t="s">
        <v>133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 t="s">
        <v>105</v>
      </c>
      <c r="M121" s="15"/>
      <c r="N121" s="15"/>
      <c r="O121" s="15" t="s">
        <v>185</v>
      </c>
      <c r="P121" s="15"/>
      <c r="Q121" s="15"/>
      <c r="R121" s="23" t="s">
        <v>134</v>
      </c>
      <c r="S121" s="23"/>
      <c r="T121" s="17">
        <f>10656.48</f>
        <v>10656.48</v>
      </c>
      <c r="U121" s="17"/>
      <c r="V121" s="17"/>
      <c r="W121" s="17">
        <f>10656.48</f>
        <v>10656.48</v>
      </c>
      <c r="X121" s="17"/>
      <c r="Y121" s="17"/>
      <c r="Z121" s="17"/>
      <c r="AA121" s="17"/>
      <c r="AB121" s="52">
        <f>0</f>
        <v>0</v>
      </c>
      <c r="AC121" s="52"/>
    </row>
    <row r="122" spans="1:29" s="1" customFormat="1" ht="13.5" customHeight="1">
      <c r="A122" s="14" t="s">
        <v>135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 t="s">
        <v>105</v>
      </c>
      <c r="M122" s="15"/>
      <c r="N122" s="15"/>
      <c r="O122" s="15" t="s">
        <v>185</v>
      </c>
      <c r="P122" s="15"/>
      <c r="Q122" s="15"/>
      <c r="R122" s="23" t="s">
        <v>136</v>
      </c>
      <c r="S122" s="23"/>
      <c r="T122" s="17">
        <f>458.33</f>
        <v>458.33</v>
      </c>
      <c r="U122" s="17"/>
      <c r="V122" s="17"/>
      <c r="W122" s="17">
        <f>458.33</f>
        <v>458.33</v>
      </c>
      <c r="X122" s="17"/>
      <c r="Y122" s="17"/>
      <c r="Z122" s="17"/>
      <c r="AA122" s="17"/>
      <c r="AB122" s="52">
        <f>0</f>
        <v>0</v>
      </c>
      <c r="AC122" s="52"/>
    </row>
    <row r="123" spans="1:29" s="1" customFormat="1" ht="13.5" customHeight="1">
      <c r="A123" s="14" t="s">
        <v>135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 t="s">
        <v>105</v>
      </c>
      <c r="M123" s="15"/>
      <c r="N123" s="15"/>
      <c r="O123" s="15" t="s">
        <v>186</v>
      </c>
      <c r="P123" s="15"/>
      <c r="Q123" s="15"/>
      <c r="R123" s="23" t="s">
        <v>136</v>
      </c>
      <c r="S123" s="23"/>
      <c r="T123" s="17">
        <f>593504.11</f>
        <v>593504.11</v>
      </c>
      <c r="U123" s="17"/>
      <c r="V123" s="17"/>
      <c r="W123" s="21" t="s">
        <v>44</v>
      </c>
      <c r="X123" s="21"/>
      <c r="Y123" s="21"/>
      <c r="Z123" s="21"/>
      <c r="AA123" s="21"/>
      <c r="AB123" s="52">
        <f>593504.11</f>
        <v>593504.11</v>
      </c>
      <c r="AC123" s="52"/>
    </row>
    <row r="124" spans="1:29" s="1" customFormat="1" ht="13.5" customHeight="1">
      <c r="A124" s="14" t="s">
        <v>135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5" t="s">
        <v>105</v>
      </c>
      <c r="M124" s="15"/>
      <c r="N124" s="15"/>
      <c r="O124" s="15" t="s">
        <v>187</v>
      </c>
      <c r="P124" s="15"/>
      <c r="Q124" s="15"/>
      <c r="R124" s="23" t="s">
        <v>136</v>
      </c>
      <c r="S124" s="23"/>
      <c r="T124" s="17">
        <f>188908.95</f>
        <v>188908.95</v>
      </c>
      <c r="U124" s="17"/>
      <c r="V124" s="17"/>
      <c r="W124" s="21" t="s">
        <v>44</v>
      </c>
      <c r="X124" s="21"/>
      <c r="Y124" s="21"/>
      <c r="Z124" s="21"/>
      <c r="AA124" s="21"/>
      <c r="AB124" s="52">
        <f>188908.95</f>
        <v>188908.95</v>
      </c>
      <c r="AC124" s="52"/>
    </row>
    <row r="125" spans="1:29" s="1" customFormat="1" ht="13.5" customHeight="1">
      <c r="A125" s="14" t="s">
        <v>133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5" t="s">
        <v>105</v>
      </c>
      <c r="M125" s="15"/>
      <c r="N125" s="15"/>
      <c r="O125" s="15" t="s">
        <v>188</v>
      </c>
      <c r="P125" s="15"/>
      <c r="Q125" s="15"/>
      <c r="R125" s="23" t="s">
        <v>134</v>
      </c>
      <c r="S125" s="23"/>
      <c r="T125" s="17">
        <f>723244.89</f>
        <v>723244.89</v>
      </c>
      <c r="U125" s="17"/>
      <c r="V125" s="17"/>
      <c r="W125" s="21" t="s">
        <v>44</v>
      </c>
      <c r="X125" s="21"/>
      <c r="Y125" s="21"/>
      <c r="Z125" s="21"/>
      <c r="AA125" s="21"/>
      <c r="AB125" s="52">
        <f>723244.89</f>
        <v>723244.89</v>
      </c>
      <c r="AC125" s="52"/>
    </row>
    <row r="126" spans="1:29" s="1" customFormat="1" ht="13.5" customHeight="1">
      <c r="A126" s="14" t="s">
        <v>133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5" t="s">
        <v>105</v>
      </c>
      <c r="M126" s="15"/>
      <c r="N126" s="15"/>
      <c r="O126" s="15" t="s">
        <v>189</v>
      </c>
      <c r="P126" s="15"/>
      <c r="Q126" s="15"/>
      <c r="R126" s="23" t="s">
        <v>134</v>
      </c>
      <c r="S126" s="23"/>
      <c r="T126" s="17">
        <f>101544.24</f>
        <v>101544.24</v>
      </c>
      <c r="U126" s="17"/>
      <c r="V126" s="17"/>
      <c r="W126" s="17">
        <f>59908</f>
        <v>59908</v>
      </c>
      <c r="X126" s="17"/>
      <c r="Y126" s="17"/>
      <c r="Z126" s="17"/>
      <c r="AA126" s="17"/>
      <c r="AB126" s="52">
        <f>41636.24</f>
        <v>41636.24</v>
      </c>
      <c r="AC126" s="52"/>
    </row>
    <row r="127" spans="1:29" s="1" customFormat="1" ht="13.5" customHeight="1">
      <c r="A127" s="14" t="s">
        <v>140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5" t="s">
        <v>105</v>
      </c>
      <c r="M127" s="15"/>
      <c r="N127" s="15"/>
      <c r="O127" s="15" t="s">
        <v>190</v>
      </c>
      <c r="P127" s="15"/>
      <c r="Q127" s="15"/>
      <c r="R127" s="23" t="s">
        <v>141</v>
      </c>
      <c r="S127" s="23"/>
      <c r="T127" s="17">
        <f>513961.92</f>
        <v>513961.92</v>
      </c>
      <c r="U127" s="17"/>
      <c r="V127" s="17"/>
      <c r="W127" s="17">
        <f>302010.89</f>
        <v>302010.89</v>
      </c>
      <c r="X127" s="17"/>
      <c r="Y127" s="17"/>
      <c r="Z127" s="17"/>
      <c r="AA127" s="17"/>
      <c r="AB127" s="52">
        <f>211951.03</f>
        <v>211951.03</v>
      </c>
      <c r="AC127" s="52"/>
    </row>
    <row r="128" spans="1:29" s="1" customFormat="1" ht="13.5" customHeight="1">
      <c r="A128" s="14" t="s">
        <v>133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5" t="s">
        <v>105</v>
      </c>
      <c r="M128" s="15"/>
      <c r="N128" s="15"/>
      <c r="O128" s="15" t="s">
        <v>190</v>
      </c>
      <c r="P128" s="15"/>
      <c r="Q128" s="15"/>
      <c r="R128" s="23" t="s">
        <v>134</v>
      </c>
      <c r="S128" s="23"/>
      <c r="T128" s="17">
        <f>155000</f>
        <v>155000</v>
      </c>
      <c r="U128" s="17"/>
      <c r="V128" s="17"/>
      <c r="W128" s="17">
        <f>67728.66</f>
        <v>67728.66</v>
      </c>
      <c r="X128" s="17"/>
      <c r="Y128" s="17"/>
      <c r="Z128" s="17"/>
      <c r="AA128" s="17"/>
      <c r="AB128" s="52">
        <f>87271.34</f>
        <v>87271.34</v>
      </c>
      <c r="AC128" s="52"/>
    </row>
    <row r="129" spans="1:29" s="1" customFormat="1" ht="13.5" customHeight="1">
      <c r="A129" s="14" t="s">
        <v>135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5" t="s">
        <v>105</v>
      </c>
      <c r="M129" s="15"/>
      <c r="N129" s="15"/>
      <c r="O129" s="15" t="s">
        <v>190</v>
      </c>
      <c r="P129" s="15"/>
      <c r="Q129" s="15"/>
      <c r="R129" s="23" t="s">
        <v>136</v>
      </c>
      <c r="S129" s="23"/>
      <c r="T129" s="17">
        <f>539169</f>
        <v>539169</v>
      </c>
      <c r="U129" s="17"/>
      <c r="V129" s="17"/>
      <c r="W129" s="17">
        <f>85538.3</f>
        <v>85538.3</v>
      </c>
      <c r="X129" s="17"/>
      <c r="Y129" s="17"/>
      <c r="Z129" s="17"/>
      <c r="AA129" s="17"/>
      <c r="AB129" s="52">
        <f>453630.7</f>
        <v>453630.7</v>
      </c>
      <c r="AC129" s="52"/>
    </row>
    <row r="130" spans="1:29" s="1" customFormat="1" ht="13.5" customHeight="1">
      <c r="A130" s="14" t="s">
        <v>144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5" t="s">
        <v>105</v>
      </c>
      <c r="M130" s="15"/>
      <c r="N130" s="15"/>
      <c r="O130" s="15" t="s">
        <v>190</v>
      </c>
      <c r="P130" s="15"/>
      <c r="Q130" s="15"/>
      <c r="R130" s="23" t="s">
        <v>145</v>
      </c>
      <c r="S130" s="23"/>
      <c r="T130" s="17">
        <f>78760</f>
        <v>78760</v>
      </c>
      <c r="U130" s="17"/>
      <c r="V130" s="17"/>
      <c r="W130" s="21" t="s">
        <v>44</v>
      </c>
      <c r="X130" s="21"/>
      <c r="Y130" s="21"/>
      <c r="Z130" s="21"/>
      <c r="AA130" s="21"/>
      <c r="AB130" s="52">
        <f>78760</f>
        <v>78760</v>
      </c>
      <c r="AC130" s="52"/>
    </row>
    <row r="131" spans="1:29" s="1" customFormat="1" ht="13.5" customHeight="1">
      <c r="A131" s="14" t="s">
        <v>150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5" t="s">
        <v>105</v>
      </c>
      <c r="M131" s="15"/>
      <c r="N131" s="15"/>
      <c r="O131" s="15" t="s">
        <v>190</v>
      </c>
      <c r="P131" s="15"/>
      <c r="Q131" s="15"/>
      <c r="R131" s="23" t="s">
        <v>151</v>
      </c>
      <c r="S131" s="23"/>
      <c r="T131" s="17">
        <f>21240</f>
        <v>21240</v>
      </c>
      <c r="U131" s="17"/>
      <c r="V131" s="17"/>
      <c r="W131" s="17">
        <f>21240</f>
        <v>21240</v>
      </c>
      <c r="X131" s="17"/>
      <c r="Y131" s="17"/>
      <c r="Z131" s="17"/>
      <c r="AA131" s="17"/>
      <c r="AB131" s="52">
        <f>0</f>
        <v>0</v>
      </c>
      <c r="AC131" s="52"/>
    </row>
    <row r="132" spans="1:29" s="1" customFormat="1" ht="13.5" customHeight="1">
      <c r="A132" s="14" t="s">
        <v>106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5" t="s">
        <v>105</v>
      </c>
      <c r="M132" s="15"/>
      <c r="N132" s="15"/>
      <c r="O132" s="15" t="s">
        <v>191</v>
      </c>
      <c r="P132" s="15"/>
      <c r="Q132" s="15"/>
      <c r="R132" s="23" t="s">
        <v>108</v>
      </c>
      <c r="S132" s="23"/>
      <c r="T132" s="17">
        <f>165.5</f>
        <v>165.5</v>
      </c>
      <c r="U132" s="17"/>
      <c r="V132" s="17"/>
      <c r="W132" s="17">
        <f>165.5</f>
        <v>165.5</v>
      </c>
      <c r="X132" s="17"/>
      <c r="Y132" s="17"/>
      <c r="Z132" s="17"/>
      <c r="AA132" s="17"/>
      <c r="AB132" s="52">
        <f>0</f>
        <v>0</v>
      </c>
      <c r="AC132" s="52"/>
    </row>
    <row r="133" spans="1:29" s="1" customFormat="1" ht="13.5" customHeight="1">
      <c r="A133" s="14" t="s">
        <v>114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5" t="s">
        <v>105</v>
      </c>
      <c r="M133" s="15"/>
      <c r="N133" s="15"/>
      <c r="O133" s="15" t="s">
        <v>192</v>
      </c>
      <c r="P133" s="15"/>
      <c r="Q133" s="15"/>
      <c r="R133" s="23" t="s">
        <v>116</v>
      </c>
      <c r="S133" s="23"/>
      <c r="T133" s="17">
        <f>49.98</f>
        <v>49.98</v>
      </c>
      <c r="U133" s="17"/>
      <c r="V133" s="17"/>
      <c r="W133" s="17">
        <f>49.98</f>
        <v>49.98</v>
      </c>
      <c r="X133" s="17"/>
      <c r="Y133" s="17"/>
      <c r="Z133" s="17"/>
      <c r="AA133" s="17"/>
      <c r="AB133" s="52">
        <f>0</f>
        <v>0</v>
      </c>
      <c r="AC133" s="52"/>
    </row>
    <row r="134" spans="1:29" s="1" customFormat="1" ht="13.5" customHeight="1">
      <c r="A134" s="14" t="s">
        <v>135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5" t="s">
        <v>105</v>
      </c>
      <c r="M134" s="15"/>
      <c r="N134" s="15"/>
      <c r="O134" s="15" t="s">
        <v>193</v>
      </c>
      <c r="P134" s="15"/>
      <c r="Q134" s="15"/>
      <c r="R134" s="23" t="s">
        <v>136</v>
      </c>
      <c r="S134" s="23"/>
      <c r="T134" s="17">
        <f>149950</f>
        <v>149950</v>
      </c>
      <c r="U134" s="17"/>
      <c r="V134" s="17"/>
      <c r="W134" s="21" t="s">
        <v>44</v>
      </c>
      <c r="X134" s="21"/>
      <c r="Y134" s="21"/>
      <c r="Z134" s="21"/>
      <c r="AA134" s="21"/>
      <c r="AB134" s="52">
        <f>149950</f>
        <v>149950</v>
      </c>
      <c r="AC134" s="52"/>
    </row>
    <row r="135" spans="1:29" s="1" customFormat="1" ht="13.5" customHeight="1">
      <c r="A135" s="14" t="s">
        <v>140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5" t="s">
        <v>105</v>
      </c>
      <c r="M135" s="15"/>
      <c r="N135" s="15"/>
      <c r="O135" s="15" t="s">
        <v>194</v>
      </c>
      <c r="P135" s="15"/>
      <c r="Q135" s="15"/>
      <c r="R135" s="23" t="s">
        <v>141</v>
      </c>
      <c r="S135" s="23"/>
      <c r="T135" s="17">
        <f>819000</f>
        <v>819000</v>
      </c>
      <c r="U135" s="17"/>
      <c r="V135" s="17"/>
      <c r="W135" s="17">
        <f>318713.64</f>
        <v>318713.64</v>
      </c>
      <c r="X135" s="17"/>
      <c r="Y135" s="17"/>
      <c r="Z135" s="17"/>
      <c r="AA135" s="17"/>
      <c r="AB135" s="52">
        <f>500286.36</f>
        <v>500286.36</v>
      </c>
      <c r="AC135" s="52"/>
    </row>
    <row r="136" spans="1:29" s="1" customFormat="1" ht="13.5" customHeight="1">
      <c r="A136" s="14" t="s">
        <v>135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5" t="s">
        <v>105</v>
      </c>
      <c r="M136" s="15"/>
      <c r="N136" s="15"/>
      <c r="O136" s="15" t="s">
        <v>195</v>
      </c>
      <c r="P136" s="15"/>
      <c r="Q136" s="15"/>
      <c r="R136" s="23" t="s">
        <v>136</v>
      </c>
      <c r="S136" s="23"/>
      <c r="T136" s="17">
        <f>25000</f>
        <v>25000</v>
      </c>
      <c r="U136" s="17"/>
      <c r="V136" s="17"/>
      <c r="W136" s="17">
        <f>15000</f>
        <v>15000</v>
      </c>
      <c r="X136" s="17"/>
      <c r="Y136" s="17"/>
      <c r="Z136" s="17"/>
      <c r="AA136" s="17"/>
      <c r="AB136" s="52">
        <f>10000</f>
        <v>10000</v>
      </c>
      <c r="AC136" s="52"/>
    </row>
    <row r="137" spans="1:29" s="1" customFormat="1" ht="24" customHeight="1">
      <c r="A137" s="14" t="s">
        <v>152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5" t="s">
        <v>105</v>
      </c>
      <c r="M137" s="15"/>
      <c r="N137" s="15"/>
      <c r="O137" s="15" t="s">
        <v>196</v>
      </c>
      <c r="P137" s="15"/>
      <c r="Q137" s="15"/>
      <c r="R137" s="23" t="s">
        <v>153</v>
      </c>
      <c r="S137" s="23"/>
      <c r="T137" s="17">
        <f>50000</f>
        <v>50000</v>
      </c>
      <c r="U137" s="17"/>
      <c r="V137" s="17"/>
      <c r="W137" s="21" t="s">
        <v>44</v>
      </c>
      <c r="X137" s="21"/>
      <c r="Y137" s="21"/>
      <c r="Z137" s="21"/>
      <c r="AA137" s="21"/>
      <c r="AB137" s="52">
        <f>50000</f>
        <v>50000</v>
      </c>
      <c r="AC137" s="52"/>
    </row>
    <row r="138" spans="1:29" s="1" customFormat="1" ht="24" customHeight="1">
      <c r="A138" s="14" t="s">
        <v>197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5" t="s">
        <v>105</v>
      </c>
      <c r="M138" s="15"/>
      <c r="N138" s="15"/>
      <c r="O138" s="15" t="s">
        <v>198</v>
      </c>
      <c r="P138" s="15"/>
      <c r="Q138" s="15"/>
      <c r="R138" s="23" t="s">
        <v>199</v>
      </c>
      <c r="S138" s="23"/>
      <c r="T138" s="17">
        <f>60000</f>
        <v>60000</v>
      </c>
      <c r="U138" s="17"/>
      <c r="V138" s="17"/>
      <c r="W138" s="17">
        <f>25000</f>
        <v>25000</v>
      </c>
      <c r="X138" s="17"/>
      <c r="Y138" s="17"/>
      <c r="Z138" s="17"/>
      <c r="AA138" s="17"/>
      <c r="AB138" s="52">
        <f>35000</f>
        <v>35000</v>
      </c>
      <c r="AC138" s="52"/>
    </row>
    <row r="139" spans="1:29" s="1" customFormat="1" ht="13.5" customHeight="1">
      <c r="A139" s="14" t="s">
        <v>200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5" t="s">
        <v>105</v>
      </c>
      <c r="M139" s="15"/>
      <c r="N139" s="15"/>
      <c r="O139" s="15" t="s">
        <v>201</v>
      </c>
      <c r="P139" s="15"/>
      <c r="Q139" s="15"/>
      <c r="R139" s="23" t="s">
        <v>202</v>
      </c>
      <c r="S139" s="23"/>
      <c r="T139" s="17">
        <f>6017232.08</f>
        <v>6017232.08</v>
      </c>
      <c r="U139" s="17"/>
      <c r="V139" s="17"/>
      <c r="W139" s="17">
        <f>6017232.08</f>
        <v>6017232.08</v>
      </c>
      <c r="X139" s="17"/>
      <c r="Y139" s="17"/>
      <c r="Z139" s="17"/>
      <c r="AA139" s="17"/>
      <c r="AB139" s="52">
        <f>0</f>
        <v>0</v>
      </c>
      <c r="AC139" s="52"/>
    </row>
    <row r="140" spans="1:29" s="1" customFormat="1" ht="13.5" customHeight="1">
      <c r="A140" s="14" t="s">
        <v>200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5" t="s">
        <v>105</v>
      </c>
      <c r="M140" s="15"/>
      <c r="N140" s="15"/>
      <c r="O140" s="15" t="s">
        <v>203</v>
      </c>
      <c r="P140" s="15"/>
      <c r="Q140" s="15"/>
      <c r="R140" s="23" t="s">
        <v>202</v>
      </c>
      <c r="S140" s="23"/>
      <c r="T140" s="17">
        <f>1427294.45</f>
        <v>1427294.45</v>
      </c>
      <c r="U140" s="17"/>
      <c r="V140" s="17"/>
      <c r="W140" s="17">
        <f>1427294.45</f>
        <v>1427294.45</v>
      </c>
      <c r="X140" s="17"/>
      <c r="Y140" s="17"/>
      <c r="Z140" s="17"/>
      <c r="AA140" s="17"/>
      <c r="AB140" s="52">
        <f>0</f>
        <v>0</v>
      </c>
      <c r="AC140" s="52"/>
    </row>
    <row r="141" spans="1:29" s="1" customFormat="1" ht="15" customHeight="1">
      <c r="A141" s="48" t="s">
        <v>204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9" t="s">
        <v>205</v>
      </c>
      <c r="M141" s="49"/>
      <c r="N141" s="49"/>
      <c r="O141" s="49" t="s">
        <v>35</v>
      </c>
      <c r="P141" s="49"/>
      <c r="Q141" s="49"/>
      <c r="R141" s="50" t="s">
        <v>35</v>
      </c>
      <c r="S141" s="50"/>
      <c r="T141" s="51">
        <f>-1037111.29</f>
        <v>-1037111.29</v>
      </c>
      <c r="U141" s="51"/>
      <c r="V141" s="51"/>
      <c r="W141" s="51">
        <f>4023630.85</f>
        <v>4023630.85</v>
      </c>
      <c r="X141" s="51"/>
      <c r="Y141" s="51"/>
      <c r="Z141" s="51"/>
      <c r="AA141" s="51"/>
      <c r="AB141" s="43" t="s">
        <v>35</v>
      </c>
      <c r="AC141" s="43"/>
    </row>
    <row r="142" spans="1:29" s="1" customFormat="1" ht="13.5" customHeight="1">
      <c r="A142" s="8" t="s">
        <v>10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s="1" customFormat="1" ht="13.5" customHeight="1">
      <c r="A143" s="44" t="s">
        <v>206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</row>
    <row r="144" spans="1:29" s="1" customFormat="1" ht="45.75" customHeight="1">
      <c r="A144" s="45" t="s">
        <v>21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 t="s">
        <v>22</v>
      </c>
      <c r="N144" s="45"/>
      <c r="O144" s="45"/>
      <c r="P144" s="45" t="s">
        <v>207</v>
      </c>
      <c r="Q144" s="45"/>
      <c r="R144" s="45"/>
      <c r="S144" s="46" t="s">
        <v>24</v>
      </c>
      <c r="T144" s="46"/>
      <c r="U144" s="46"/>
      <c r="V144" s="46" t="s">
        <v>25</v>
      </c>
      <c r="W144" s="46"/>
      <c r="X144" s="46"/>
      <c r="Y144" s="46"/>
      <c r="Z144" s="46"/>
      <c r="AA144" s="47" t="s">
        <v>26</v>
      </c>
      <c r="AB144" s="47"/>
      <c r="AC144" s="47"/>
    </row>
    <row r="145" spans="1:29" s="1" customFormat="1" ht="12.75" customHeight="1">
      <c r="A145" s="40" t="s">
        <v>27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 t="s">
        <v>28</v>
      </c>
      <c r="N145" s="40"/>
      <c r="O145" s="40"/>
      <c r="P145" s="40" t="s">
        <v>29</v>
      </c>
      <c r="Q145" s="40"/>
      <c r="R145" s="40"/>
      <c r="S145" s="41" t="s">
        <v>30</v>
      </c>
      <c r="T145" s="41"/>
      <c r="U145" s="41"/>
      <c r="V145" s="41" t="s">
        <v>31</v>
      </c>
      <c r="W145" s="41"/>
      <c r="X145" s="41"/>
      <c r="Y145" s="41"/>
      <c r="Z145" s="41"/>
      <c r="AA145" s="42" t="s">
        <v>32</v>
      </c>
      <c r="AB145" s="42"/>
      <c r="AC145" s="42"/>
    </row>
    <row r="146" spans="1:29" s="1" customFormat="1" ht="13.5" customHeight="1">
      <c r="A146" s="35" t="s">
        <v>208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6" t="s">
        <v>209</v>
      </c>
      <c r="N146" s="36"/>
      <c r="O146" s="36"/>
      <c r="P146" s="36" t="s">
        <v>35</v>
      </c>
      <c r="Q146" s="36"/>
      <c r="R146" s="36"/>
      <c r="S146" s="37">
        <f>1037111.29</f>
        <v>1037111.29</v>
      </c>
      <c r="T146" s="37"/>
      <c r="U146" s="37"/>
      <c r="V146" s="38">
        <f>-4023630.85</f>
        <v>-4023630.85</v>
      </c>
      <c r="W146" s="38"/>
      <c r="X146" s="38"/>
      <c r="Y146" s="38"/>
      <c r="Z146" s="38"/>
      <c r="AA146" s="39" t="s">
        <v>35</v>
      </c>
      <c r="AB146" s="39"/>
      <c r="AC146" s="39"/>
    </row>
    <row r="147" spans="1:29" s="1" customFormat="1" ht="13.5" customHeight="1">
      <c r="A147" s="33" t="s">
        <v>210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24" t="s">
        <v>10</v>
      </c>
      <c r="N147" s="24"/>
      <c r="O147" s="24"/>
      <c r="P147" s="24" t="s">
        <v>10</v>
      </c>
      <c r="Q147" s="24"/>
      <c r="R147" s="24"/>
      <c r="S147" s="25" t="s">
        <v>10</v>
      </c>
      <c r="T147" s="25"/>
      <c r="U147" s="25"/>
      <c r="V147" s="34" t="s">
        <v>10</v>
      </c>
      <c r="W147" s="34"/>
      <c r="X147" s="34"/>
      <c r="Y147" s="34"/>
      <c r="Z147" s="34"/>
      <c r="AA147" s="26" t="s">
        <v>10</v>
      </c>
      <c r="AB147" s="26"/>
      <c r="AC147" s="26"/>
    </row>
    <row r="148" spans="1:29" s="1" customFormat="1" ht="13.5" customHeight="1">
      <c r="A148" s="27" t="s">
        <v>211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8" t="s">
        <v>212</v>
      </c>
      <c r="N148" s="28"/>
      <c r="O148" s="28"/>
      <c r="P148" s="29" t="s">
        <v>35</v>
      </c>
      <c r="Q148" s="29"/>
      <c r="R148" s="29"/>
      <c r="S148" s="30" t="s">
        <v>44</v>
      </c>
      <c r="T148" s="30"/>
      <c r="U148" s="30"/>
      <c r="V148" s="31" t="s">
        <v>44</v>
      </c>
      <c r="W148" s="31"/>
      <c r="X148" s="31"/>
      <c r="Y148" s="31"/>
      <c r="Z148" s="31"/>
      <c r="AA148" s="32" t="s">
        <v>44</v>
      </c>
      <c r="AB148" s="32"/>
      <c r="AC148" s="32"/>
    </row>
    <row r="149" spans="1:29" s="1" customFormat="1" ht="13.5" customHeight="1">
      <c r="A149" s="23" t="s">
        <v>10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1:29" s="1" customFormat="1" ht="13.5" customHeight="1">
      <c r="A150" s="14" t="s">
        <v>213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24" t="s">
        <v>214</v>
      </c>
      <c r="N150" s="24"/>
      <c r="O150" s="24"/>
      <c r="P150" s="24" t="s">
        <v>35</v>
      </c>
      <c r="Q150" s="24"/>
      <c r="R150" s="24"/>
      <c r="S150" s="25" t="s">
        <v>44</v>
      </c>
      <c r="T150" s="25"/>
      <c r="U150" s="25"/>
      <c r="V150" s="21" t="s">
        <v>44</v>
      </c>
      <c r="W150" s="21"/>
      <c r="X150" s="21"/>
      <c r="Y150" s="21"/>
      <c r="Z150" s="21"/>
      <c r="AA150" s="26" t="s">
        <v>44</v>
      </c>
      <c r="AB150" s="26"/>
      <c r="AC150" s="26"/>
    </row>
    <row r="151" spans="1:29" s="1" customFormat="1" ht="13.5" customHeight="1">
      <c r="A151" s="14" t="s">
        <v>10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5" t="s">
        <v>214</v>
      </c>
      <c r="N151" s="15"/>
      <c r="O151" s="15"/>
      <c r="P151" s="15" t="s">
        <v>10</v>
      </c>
      <c r="Q151" s="15"/>
      <c r="R151" s="15"/>
      <c r="S151" s="20" t="s">
        <v>44</v>
      </c>
      <c r="T151" s="20"/>
      <c r="U151" s="20"/>
      <c r="V151" s="21" t="s">
        <v>44</v>
      </c>
      <c r="W151" s="21"/>
      <c r="X151" s="21"/>
      <c r="Y151" s="21"/>
      <c r="Z151" s="21"/>
      <c r="AA151" s="22" t="s">
        <v>44</v>
      </c>
      <c r="AB151" s="22"/>
      <c r="AC151" s="22"/>
    </row>
    <row r="152" spans="1:29" s="1" customFormat="1" ht="13.5" customHeight="1">
      <c r="A152" s="14" t="s">
        <v>215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5" t="s">
        <v>216</v>
      </c>
      <c r="N152" s="15"/>
      <c r="O152" s="15"/>
      <c r="P152" s="15" t="s">
        <v>217</v>
      </c>
      <c r="Q152" s="15"/>
      <c r="R152" s="15"/>
      <c r="S152" s="16">
        <f>1037111.29</f>
        <v>1037111.29</v>
      </c>
      <c r="T152" s="16"/>
      <c r="U152" s="16"/>
      <c r="V152" s="17">
        <f>-4023630.85</f>
        <v>-4023630.85</v>
      </c>
      <c r="W152" s="17"/>
      <c r="X152" s="17"/>
      <c r="Y152" s="17"/>
      <c r="Z152" s="17"/>
      <c r="AA152" s="19">
        <f>5060742.14</f>
        <v>5060742.14</v>
      </c>
      <c r="AB152" s="19"/>
      <c r="AC152" s="19"/>
    </row>
    <row r="153" spans="1:29" s="1" customFormat="1" ht="13.5" customHeight="1">
      <c r="A153" s="14" t="s">
        <v>218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5" t="s">
        <v>219</v>
      </c>
      <c r="N153" s="15"/>
      <c r="O153" s="15"/>
      <c r="P153" s="15" t="s">
        <v>220</v>
      </c>
      <c r="Q153" s="15"/>
      <c r="R153" s="15"/>
      <c r="S153" s="16">
        <f>-32277311.76</f>
        <v>-32277311.76</v>
      </c>
      <c r="T153" s="16"/>
      <c r="U153" s="16"/>
      <c r="V153" s="17">
        <f>-21595212.82</f>
        <v>-21595212.82</v>
      </c>
      <c r="W153" s="17"/>
      <c r="X153" s="17"/>
      <c r="Y153" s="17"/>
      <c r="Z153" s="17"/>
      <c r="AA153" s="18" t="s">
        <v>35</v>
      </c>
      <c r="AB153" s="18"/>
      <c r="AC153" s="18"/>
    </row>
    <row r="154" spans="1:29" s="1" customFormat="1" ht="13.5" customHeight="1">
      <c r="A154" s="14" t="s">
        <v>221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5" t="s">
        <v>222</v>
      </c>
      <c r="N154" s="15"/>
      <c r="O154" s="15"/>
      <c r="P154" s="15" t="s">
        <v>223</v>
      </c>
      <c r="Q154" s="15"/>
      <c r="R154" s="15"/>
      <c r="S154" s="16">
        <f>33314423.05</f>
        <v>33314423.05</v>
      </c>
      <c r="T154" s="16"/>
      <c r="U154" s="16"/>
      <c r="V154" s="17">
        <f>17571581.97</f>
        <v>17571581.97</v>
      </c>
      <c r="W154" s="17"/>
      <c r="X154" s="17"/>
      <c r="Y154" s="17"/>
      <c r="Z154" s="17"/>
      <c r="AA154" s="18" t="s">
        <v>35</v>
      </c>
      <c r="AB154" s="18"/>
      <c r="AC154" s="18"/>
    </row>
    <row r="155" spans="1:29" s="1" customFormat="1" ht="13.5" customHeight="1">
      <c r="A155" s="13" t="s">
        <v>10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:29" s="1" customFormat="1" ht="13.5" customHeight="1">
      <c r="A156" s="8" t="s">
        <v>224</v>
      </c>
      <c r="B156" s="8"/>
      <c r="C156" s="8"/>
      <c r="D156" s="8"/>
      <c r="E156" s="8"/>
      <c r="F156" s="8"/>
      <c r="G156" s="8"/>
      <c r="H156" s="8"/>
      <c r="I156" s="12" t="s">
        <v>10</v>
      </c>
      <c r="J156" s="12"/>
      <c r="K156" s="12"/>
      <c r="L156" s="12"/>
      <c r="M156" s="12"/>
      <c r="N156" s="12"/>
      <c r="O156" s="12"/>
      <c r="P156" s="12" t="s">
        <v>225</v>
      </c>
      <c r="Q156" s="12"/>
      <c r="R156" s="12"/>
      <c r="S156" s="12"/>
      <c r="T156" s="12"/>
      <c r="U156" s="8" t="s">
        <v>10</v>
      </c>
      <c r="V156" s="8"/>
      <c r="W156" s="8"/>
      <c r="X156" s="8"/>
      <c r="Y156" s="8"/>
      <c r="Z156" s="8"/>
      <c r="AA156" s="8"/>
      <c r="AB156" s="8"/>
      <c r="AC156" s="8"/>
    </row>
    <row r="157" spans="1:29" s="1" customFormat="1" ht="13.5" customHeight="1">
      <c r="A157" s="8" t="s">
        <v>10</v>
      </c>
      <c r="B157" s="8"/>
      <c r="C157" s="8"/>
      <c r="D157" s="8"/>
      <c r="E157" s="8"/>
      <c r="F157" s="8"/>
      <c r="G157" s="8"/>
      <c r="H157" s="8"/>
      <c r="I157" s="5" t="s">
        <v>10</v>
      </c>
      <c r="J157" s="11" t="s">
        <v>226</v>
      </c>
      <c r="K157" s="11"/>
      <c r="L157" s="11"/>
      <c r="M157" s="11"/>
      <c r="N157" s="8" t="s">
        <v>10</v>
      </c>
      <c r="O157" s="8"/>
      <c r="P157" s="5" t="s">
        <v>10</v>
      </c>
      <c r="Q157" s="11" t="s">
        <v>227</v>
      </c>
      <c r="R157" s="11"/>
      <c r="S157" s="11"/>
      <c r="T157" s="8" t="s">
        <v>10</v>
      </c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s="1" customFormat="1" ht="7.5" customHeight="1">
      <c r="A158" s="8" t="s">
        <v>10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s="1" customFormat="1" ht="13.5" customHeight="1">
      <c r="A159" s="8" t="s">
        <v>10</v>
      </c>
      <c r="B159" s="8"/>
      <c r="C159" s="8"/>
      <c r="D159" s="8"/>
      <c r="E159" s="8"/>
      <c r="F159" s="8"/>
      <c r="G159" s="8"/>
      <c r="H159" s="8"/>
      <c r="I159" s="12" t="s">
        <v>10</v>
      </c>
      <c r="J159" s="12"/>
      <c r="K159" s="12"/>
      <c r="L159" s="12"/>
      <c r="M159" s="12"/>
      <c r="N159" s="12"/>
      <c r="O159" s="12"/>
      <c r="P159" s="12" t="s">
        <v>228</v>
      </c>
      <c r="Q159" s="12"/>
      <c r="R159" s="12"/>
      <c r="S159" s="12"/>
      <c r="T159" s="12"/>
      <c r="U159" s="8" t="s">
        <v>10</v>
      </c>
      <c r="V159" s="8"/>
      <c r="W159" s="8"/>
      <c r="X159" s="8"/>
      <c r="Y159" s="8"/>
      <c r="Z159" s="8"/>
      <c r="AA159" s="8"/>
      <c r="AB159" s="8"/>
      <c r="AC159" s="8"/>
    </row>
    <row r="160" spans="1:29" s="1" customFormat="1" ht="13.5" customHeight="1">
      <c r="A160" s="8" t="s">
        <v>10</v>
      </c>
      <c r="B160" s="8"/>
      <c r="C160" s="8"/>
      <c r="D160" s="8"/>
      <c r="E160" s="8"/>
      <c r="F160" s="8"/>
      <c r="G160" s="8"/>
      <c r="H160" s="8"/>
      <c r="I160" s="5" t="s">
        <v>10</v>
      </c>
      <c r="J160" s="11" t="s">
        <v>226</v>
      </c>
      <c r="K160" s="11"/>
      <c r="L160" s="11"/>
      <c r="M160" s="11"/>
      <c r="N160" s="8" t="s">
        <v>10</v>
      </c>
      <c r="O160" s="8"/>
      <c r="P160" s="5" t="s">
        <v>10</v>
      </c>
      <c r="Q160" s="11" t="s">
        <v>227</v>
      </c>
      <c r="R160" s="11"/>
      <c r="S160" s="11"/>
      <c r="T160" s="8" t="s">
        <v>10</v>
      </c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s="1" customFormat="1" ht="7.5" customHeight="1">
      <c r="A161" s="8" t="s">
        <v>10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s="1" customFormat="1" ht="13.5" customHeight="1">
      <c r="A162" s="8" t="s">
        <v>229</v>
      </c>
      <c r="B162" s="8"/>
      <c r="C162" s="12" t="s">
        <v>10</v>
      </c>
      <c r="D162" s="12"/>
      <c r="E162" s="12"/>
      <c r="F162" s="12"/>
      <c r="G162" s="12"/>
      <c r="H162" s="12"/>
      <c r="I162" s="12" t="s">
        <v>10</v>
      </c>
      <c r="J162" s="12"/>
      <c r="K162" s="12"/>
      <c r="L162" s="12"/>
      <c r="M162" s="12"/>
      <c r="N162" s="12"/>
      <c r="O162" s="12"/>
      <c r="P162" s="12" t="s">
        <v>230</v>
      </c>
      <c r="Q162" s="12"/>
      <c r="R162" s="12"/>
      <c r="S162" s="12"/>
      <c r="T162" s="12"/>
      <c r="U162" s="8" t="s">
        <v>10</v>
      </c>
      <c r="V162" s="8"/>
      <c r="W162" s="8"/>
      <c r="X162" s="8"/>
      <c r="Y162" s="8"/>
      <c r="Z162" s="8"/>
      <c r="AA162" s="8"/>
      <c r="AB162" s="8"/>
      <c r="AC162" s="8"/>
    </row>
    <row r="163" spans="1:29" s="1" customFormat="1" ht="13.5" customHeight="1">
      <c r="A163" s="8" t="s">
        <v>10</v>
      </c>
      <c r="B163" s="8"/>
      <c r="C163" s="5" t="s">
        <v>10</v>
      </c>
      <c r="D163" s="11" t="s">
        <v>231</v>
      </c>
      <c r="E163" s="11"/>
      <c r="F163" s="11"/>
      <c r="G163" s="11"/>
      <c r="H163" s="5" t="s">
        <v>10</v>
      </c>
      <c r="I163" s="5" t="s">
        <v>10</v>
      </c>
      <c r="J163" s="11" t="s">
        <v>226</v>
      </c>
      <c r="K163" s="11"/>
      <c r="L163" s="11"/>
      <c r="M163" s="11"/>
      <c r="N163" s="8" t="s">
        <v>10</v>
      </c>
      <c r="O163" s="8"/>
      <c r="P163" s="5" t="s">
        <v>10</v>
      </c>
      <c r="Q163" s="11" t="s">
        <v>227</v>
      </c>
      <c r="R163" s="11"/>
      <c r="S163" s="11"/>
      <c r="T163" s="8" t="s">
        <v>10</v>
      </c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s="1" customFormat="1" ht="15.75" customHeight="1">
      <c r="A164" s="8" t="s">
        <v>10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s="1" customFormat="1" ht="13.5" customHeight="1">
      <c r="A165" s="9" t="s">
        <v>232</v>
      </c>
      <c r="B165" s="9"/>
      <c r="C165" s="9"/>
      <c r="D165" s="9"/>
      <c r="E165" s="9"/>
      <c r="F165" s="9"/>
      <c r="G165" s="9"/>
      <c r="H165" s="9"/>
      <c r="I165" s="9"/>
      <c r="J165" s="9"/>
      <c r="K165" s="8" t="s">
        <v>10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s="1" customFormat="1" ht="13.5" customHeight="1">
      <c r="A166" s="10" t="s">
        <v>233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</sheetData>
  <sheetProtection/>
  <mergeCells count="987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A37:L37"/>
    <mergeCell ref="M37:O37"/>
    <mergeCell ref="P37:R37"/>
    <mergeCell ref="S37:U37"/>
    <mergeCell ref="V37:Z37"/>
    <mergeCell ref="AA37:AC37"/>
    <mergeCell ref="A38:L38"/>
    <mergeCell ref="M38:O38"/>
    <mergeCell ref="P38:R38"/>
    <mergeCell ref="S38:U38"/>
    <mergeCell ref="V38:Z38"/>
    <mergeCell ref="AA38:AC38"/>
    <mergeCell ref="A39:L39"/>
    <mergeCell ref="M39:O39"/>
    <mergeCell ref="P39:R39"/>
    <mergeCell ref="S39:U39"/>
    <mergeCell ref="V39:Z39"/>
    <mergeCell ref="AA39:AC39"/>
    <mergeCell ref="A40:L40"/>
    <mergeCell ref="M40:O40"/>
    <mergeCell ref="P40:R40"/>
    <mergeCell ref="S40:U40"/>
    <mergeCell ref="V40:Z40"/>
    <mergeCell ref="AA40:AC40"/>
    <mergeCell ref="A41:L41"/>
    <mergeCell ref="M41:O41"/>
    <mergeCell ref="P41:R41"/>
    <mergeCell ref="S41:U41"/>
    <mergeCell ref="V41:Z41"/>
    <mergeCell ref="AA41:AC41"/>
    <mergeCell ref="A42:L42"/>
    <mergeCell ref="M42:O42"/>
    <mergeCell ref="P42:R42"/>
    <mergeCell ref="S42:U42"/>
    <mergeCell ref="V42:Z42"/>
    <mergeCell ref="AA42:AC42"/>
    <mergeCell ref="A43:L43"/>
    <mergeCell ref="M43:O43"/>
    <mergeCell ref="P43:R43"/>
    <mergeCell ref="S43:U43"/>
    <mergeCell ref="V43:Z43"/>
    <mergeCell ref="AA43:AC43"/>
    <mergeCell ref="A44:L44"/>
    <mergeCell ref="M44:O44"/>
    <mergeCell ref="P44:R44"/>
    <mergeCell ref="S44:U44"/>
    <mergeCell ref="V44:Z44"/>
    <mergeCell ref="AA44:AC44"/>
    <mergeCell ref="A45:L45"/>
    <mergeCell ref="M45:O45"/>
    <mergeCell ref="P45:R45"/>
    <mergeCell ref="S45:U45"/>
    <mergeCell ref="V45:Z45"/>
    <mergeCell ref="AA45:AC45"/>
    <mergeCell ref="A46:L46"/>
    <mergeCell ref="M46:O46"/>
    <mergeCell ref="P46:R46"/>
    <mergeCell ref="S46:U46"/>
    <mergeCell ref="V46:Z46"/>
    <mergeCell ref="AA46:AC46"/>
    <mergeCell ref="A47:L47"/>
    <mergeCell ref="M47:O47"/>
    <mergeCell ref="P47:R47"/>
    <mergeCell ref="S47:U47"/>
    <mergeCell ref="V47:Z47"/>
    <mergeCell ref="AA47:AC47"/>
    <mergeCell ref="A48:L48"/>
    <mergeCell ref="M48:O48"/>
    <mergeCell ref="P48:R48"/>
    <mergeCell ref="S48:U48"/>
    <mergeCell ref="V48:Z48"/>
    <mergeCell ref="AA48:AC48"/>
    <mergeCell ref="T52:V52"/>
    <mergeCell ref="W52:AA52"/>
    <mergeCell ref="AB52:AC52"/>
    <mergeCell ref="A49:L49"/>
    <mergeCell ref="M49:O49"/>
    <mergeCell ref="P49:R49"/>
    <mergeCell ref="S49:U49"/>
    <mergeCell ref="V49:Z49"/>
    <mergeCell ref="AA49:AC49"/>
    <mergeCell ref="O53:Q53"/>
    <mergeCell ref="R53:S53"/>
    <mergeCell ref="T53:V53"/>
    <mergeCell ref="W53:AA53"/>
    <mergeCell ref="A50:AC50"/>
    <mergeCell ref="A51:AC51"/>
    <mergeCell ref="A52:K52"/>
    <mergeCell ref="L52:N52"/>
    <mergeCell ref="O52:Q52"/>
    <mergeCell ref="R52:S52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W56:AA56"/>
    <mergeCell ref="AB56:AC56"/>
    <mergeCell ref="A55:K55"/>
    <mergeCell ref="L55:N55"/>
    <mergeCell ref="O55:Q55"/>
    <mergeCell ref="R55:S55"/>
    <mergeCell ref="T55:V55"/>
    <mergeCell ref="W55:AA55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W60:AA60"/>
    <mergeCell ref="AB60:AC60"/>
    <mergeCell ref="A59:K59"/>
    <mergeCell ref="L59:N59"/>
    <mergeCell ref="O59:Q59"/>
    <mergeCell ref="R59:S59"/>
    <mergeCell ref="T59:V59"/>
    <mergeCell ref="W59:AA59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W64:AA64"/>
    <mergeCell ref="AB64:AC64"/>
    <mergeCell ref="A63:K63"/>
    <mergeCell ref="L63:N63"/>
    <mergeCell ref="O63:Q63"/>
    <mergeCell ref="R63:S63"/>
    <mergeCell ref="T63:V63"/>
    <mergeCell ref="W63:AA63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W68:AA68"/>
    <mergeCell ref="AB68:AC68"/>
    <mergeCell ref="A67:K67"/>
    <mergeCell ref="L67:N67"/>
    <mergeCell ref="O67:Q67"/>
    <mergeCell ref="R67:S67"/>
    <mergeCell ref="T67:V67"/>
    <mergeCell ref="W67:AA67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W72:AA72"/>
    <mergeCell ref="AB72:AC72"/>
    <mergeCell ref="A71:K71"/>
    <mergeCell ref="L71:N71"/>
    <mergeCell ref="O71:Q71"/>
    <mergeCell ref="R71:S71"/>
    <mergeCell ref="T71:V71"/>
    <mergeCell ref="W71:AA71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W76:AA76"/>
    <mergeCell ref="AB76:AC76"/>
    <mergeCell ref="A75:K75"/>
    <mergeCell ref="L75:N75"/>
    <mergeCell ref="O75:Q75"/>
    <mergeCell ref="R75:S75"/>
    <mergeCell ref="T75:V75"/>
    <mergeCell ref="W75:AA75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W80:AA80"/>
    <mergeCell ref="AB80:AC80"/>
    <mergeCell ref="A79:K79"/>
    <mergeCell ref="L79:N79"/>
    <mergeCell ref="O79:Q79"/>
    <mergeCell ref="R79:S79"/>
    <mergeCell ref="T79:V79"/>
    <mergeCell ref="W79:AA79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W84:AA84"/>
    <mergeCell ref="AB84:AC84"/>
    <mergeCell ref="A83:K83"/>
    <mergeCell ref="L83:N83"/>
    <mergeCell ref="O83:Q83"/>
    <mergeCell ref="R83:S83"/>
    <mergeCell ref="T83:V83"/>
    <mergeCell ref="W83:AA83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W88:AA88"/>
    <mergeCell ref="AB88:AC88"/>
    <mergeCell ref="A87:K87"/>
    <mergeCell ref="L87:N87"/>
    <mergeCell ref="O87:Q87"/>
    <mergeCell ref="R87:S87"/>
    <mergeCell ref="T87:V87"/>
    <mergeCell ref="W87:AA87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W92:AA92"/>
    <mergeCell ref="AB92:AC92"/>
    <mergeCell ref="A91:K91"/>
    <mergeCell ref="L91:N91"/>
    <mergeCell ref="O91:Q91"/>
    <mergeCell ref="R91:S91"/>
    <mergeCell ref="T91:V91"/>
    <mergeCell ref="W91:AA91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W96:AA96"/>
    <mergeCell ref="AB96:AC96"/>
    <mergeCell ref="A95:K95"/>
    <mergeCell ref="L95:N95"/>
    <mergeCell ref="O95:Q95"/>
    <mergeCell ref="R95:S95"/>
    <mergeCell ref="T95:V95"/>
    <mergeCell ref="W95:AA95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A139:K139"/>
    <mergeCell ref="L139:N139"/>
    <mergeCell ref="O139:Q139"/>
    <mergeCell ref="R139:S139"/>
    <mergeCell ref="T139:V139"/>
    <mergeCell ref="W139:AA139"/>
    <mergeCell ref="A140:K140"/>
    <mergeCell ref="L140:N140"/>
    <mergeCell ref="O140:Q140"/>
    <mergeCell ref="R140:S140"/>
    <mergeCell ref="T140:V140"/>
    <mergeCell ref="W140:AA140"/>
    <mergeCell ref="L141:N141"/>
    <mergeCell ref="O141:Q141"/>
    <mergeCell ref="R141:S141"/>
    <mergeCell ref="T141:V141"/>
    <mergeCell ref="W141:AA141"/>
    <mergeCell ref="AB139:AC139"/>
    <mergeCell ref="AB140:AC140"/>
    <mergeCell ref="AB141:AC141"/>
    <mergeCell ref="A142:AC142"/>
    <mergeCell ref="A143:AC143"/>
    <mergeCell ref="A144:L144"/>
    <mergeCell ref="M144:O144"/>
    <mergeCell ref="P144:R144"/>
    <mergeCell ref="S144:U144"/>
    <mergeCell ref="V144:Z144"/>
    <mergeCell ref="AA144:AC144"/>
    <mergeCell ref="A141:K141"/>
    <mergeCell ref="A145:L145"/>
    <mergeCell ref="M145:O145"/>
    <mergeCell ref="P145:R145"/>
    <mergeCell ref="S145:U145"/>
    <mergeCell ref="V145:Z145"/>
    <mergeCell ref="AA145:AC145"/>
    <mergeCell ref="A146:L146"/>
    <mergeCell ref="M146:O146"/>
    <mergeCell ref="P146:R146"/>
    <mergeCell ref="S146:U146"/>
    <mergeCell ref="V146:Z146"/>
    <mergeCell ref="AA146:AC146"/>
    <mergeCell ref="A147:L147"/>
    <mergeCell ref="M147:O147"/>
    <mergeCell ref="P147:R147"/>
    <mergeCell ref="S147:U147"/>
    <mergeCell ref="V147:Z147"/>
    <mergeCell ref="AA147:AC147"/>
    <mergeCell ref="A148:L148"/>
    <mergeCell ref="M148:O148"/>
    <mergeCell ref="P148:R148"/>
    <mergeCell ref="S148:U148"/>
    <mergeCell ref="V148:Z148"/>
    <mergeCell ref="AA148:AC148"/>
    <mergeCell ref="A149:AC149"/>
    <mergeCell ref="A150:L150"/>
    <mergeCell ref="M150:O150"/>
    <mergeCell ref="P150:R150"/>
    <mergeCell ref="S150:U150"/>
    <mergeCell ref="V150:Z150"/>
    <mergeCell ref="AA150:AC150"/>
    <mergeCell ref="A151:L151"/>
    <mergeCell ref="M151:O151"/>
    <mergeCell ref="P151:R151"/>
    <mergeCell ref="S151:U151"/>
    <mergeCell ref="V151:Z151"/>
    <mergeCell ref="AA151:AC151"/>
    <mergeCell ref="A152:L152"/>
    <mergeCell ref="M152:O152"/>
    <mergeCell ref="P152:R152"/>
    <mergeCell ref="S152:U152"/>
    <mergeCell ref="V152:Z152"/>
    <mergeCell ref="AA152:AC152"/>
    <mergeCell ref="A153:L153"/>
    <mergeCell ref="M153:O153"/>
    <mergeCell ref="P153:R153"/>
    <mergeCell ref="S153:U153"/>
    <mergeCell ref="V153:Z153"/>
    <mergeCell ref="AA153:AC153"/>
    <mergeCell ref="A154:L154"/>
    <mergeCell ref="M154:O154"/>
    <mergeCell ref="P154:R154"/>
    <mergeCell ref="S154:U154"/>
    <mergeCell ref="V154:Z154"/>
    <mergeCell ref="AA154:AC154"/>
    <mergeCell ref="A155:AC155"/>
    <mergeCell ref="A156:H156"/>
    <mergeCell ref="I156:O156"/>
    <mergeCell ref="P156:T156"/>
    <mergeCell ref="U156:AC156"/>
    <mergeCell ref="A157:H157"/>
    <mergeCell ref="J157:M157"/>
    <mergeCell ref="N157:O157"/>
    <mergeCell ref="Q157:S157"/>
    <mergeCell ref="T157:AC157"/>
    <mergeCell ref="A158:AC158"/>
    <mergeCell ref="A159:H159"/>
    <mergeCell ref="I159:O159"/>
    <mergeCell ref="P159:T159"/>
    <mergeCell ref="U159:AC159"/>
    <mergeCell ref="A160:H160"/>
    <mergeCell ref="J160:M160"/>
    <mergeCell ref="N160:O160"/>
    <mergeCell ref="Q160:S160"/>
    <mergeCell ref="T160:AC160"/>
    <mergeCell ref="A161:AC161"/>
    <mergeCell ref="A162:B162"/>
    <mergeCell ref="C162:H162"/>
    <mergeCell ref="I162:O162"/>
    <mergeCell ref="P162:T162"/>
    <mergeCell ref="U162:AC162"/>
    <mergeCell ref="A164:AC164"/>
    <mergeCell ref="A165:J165"/>
    <mergeCell ref="K165:AC165"/>
    <mergeCell ref="A166:AC166"/>
    <mergeCell ref="A163:B163"/>
    <mergeCell ref="D163:G163"/>
    <mergeCell ref="J163:M163"/>
    <mergeCell ref="N163:O163"/>
    <mergeCell ref="Q163:S163"/>
    <mergeCell ref="T163:AC163"/>
  </mergeCells>
  <printOptions/>
  <pageMargins left="0.3937007874015748" right="0" top="0.3937007874015748" bottom="0" header="0.5118110236220472" footer="0.5118110236220472"/>
  <pageSetup orientation="landscape" paperSize="9" r:id="rId1"/>
  <rowBreaks count="2" manualBreakCount="2">
    <brk id="50" max="255" man="1"/>
    <brk id="14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</cp:lastModifiedBy>
  <cp:lastPrinted>2020-07-09T04:22:44Z</cp:lastPrinted>
  <dcterms:created xsi:type="dcterms:W3CDTF">2020-07-07T11:55:19Z</dcterms:created>
  <dcterms:modified xsi:type="dcterms:W3CDTF">2020-07-09T04:22:54Z</dcterms:modified>
  <cp:category/>
  <cp:version/>
  <cp:contentType/>
  <cp:contentStatus/>
</cp:coreProperties>
</file>